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amanda2019/Desktop/"/>
    </mc:Choice>
  </mc:AlternateContent>
  <xr:revisionPtr revIDLastSave="0" documentId="8_{59A45F8F-A7B0-5F4D-891E-C5FFBB4B4640}" xr6:coauthVersionLast="47" xr6:coauthVersionMax="47" xr10:uidLastSave="{00000000-0000-0000-0000-000000000000}"/>
  <bookViews>
    <workbookView xWindow="0" yWindow="660" windowWidth="25780" windowHeight="13860" firstSheet="1" activeTab="4" xr2:uid="{F9278590-FF9F-F441-ACDB-EE3DC553E255}"/>
  </bookViews>
  <sheets>
    <sheet name="Uitleg variabelen" sheetId="1" r:id="rId1"/>
    <sheet name="de Volkskrant resultaten" sheetId="2" r:id="rId2"/>
    <sheet name="De Telegraaf resultaten" sheetId="4" r:id="rId3"/>
    <sheet name="Resultaten" sheetId="3" r:id="rId4"/>
    <sheet name="Grafieken" sheetId="5" r:id="rId5"/>
  </sheets>
  <calcPr calcId="191029"/>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 l="1"/>
  <c r="P22" i="3" s="1"/>
  <c r="G21" i="3"/>
  <c r="P21" i="3" s="1"/>
  <c r="G20" i="3"/>
  <c r="P20" i="3" s="1"/>
  <c r="G19" i="3"/>
  <c r="P19" i="3" s="1"/>
  <c r="G18" i="3"/>
  <c r="P18" i="3" s="1"/>
  <c r="G17" i="3"/>
  <c r="P17" i="3" s="1"/>
  <c r="G16" i="3"/>
  <c r="P16" i="3" s="1"/>
  <c r="F22" i="3"/>
  <c r="O22" i="3" s="1"/>
  <c r="F21" i="3"/>
  <c r="O21" i="3" s="1"/>
  <c r="F20" i="3"/>
  <c r="O20" i="3" s="1"/>
  <c r="F19" i="3"/>
  <c r="O19" i="3" s="1"/>
  <c r="F18" i="3"/>
  <c r="O18" i="3" s="1"/>
  <c r="F17" i="3"/>
  <c r="O17" i="3" s="1"/>
  <c r="F16" i="3"/>
  <c r="O16" i="3" s="1"/>
  <c r="E22" i="3"/>
  <c r="N22" i="3" s="1"/>
  <c r="E21" i="3"/>
  <c r="N21" i="3" s="1"/>
  <c r="E20" i="3"/>
  <c r="N20" i="3" s="1"/>
  <c r="E19" i="3"/>
  <c r="N19" i="3" s="1"/>
  <c r="E18" i="3"/>
  <c r="N18" i="3" s="1"/>
  <c r="E17" i="3"/>
  <c r="N17" i="3" s="1"/>
  <c r="E16" i="3"/>
  <c r="N16" i="3" s="1"/>
  <c r="D22" i="3"/>
  <c r="M22" i="3" s="1"/>
  <c r="D21" i="3"/>
  <c r="M21" i="3" s="1"/>
  <c r="D20" i="3"/>
  <c r="M20" i="3" s="1"/>
  <c r="D19" i="3"/>
  <c r="M19" i="3" s="1"/>
  <c r="D18" i="3"/>
  <c r="M18" i="3" s="1"/>
  <c r="D17" i="3"/>
  <c r="M17" i="3" s="1"/>
  <c r="D16" i="3"/>
  <c r="M16" i="3" s="1"/>
  <c r="C22" i="3"/>
  <c r="L22" i="3" s="1"/>
  <c r="C21" i="3"/>
  <c r="L21" i="3" s="1"/>
  <c r="C20" i="3"/>
  <c r="L20" i="3" s="1"/>
  <c r="C19" i="3"/>
  <c r="L19" i="3" s="1"/>
  <c r="C18" i="3"/>
  <c r="L18" i="3" s="1"/>
  <c r="C17" i="3"/>
  <c r="L17" i="3" s="1"/>
  <c r="C16" i="3"/>
  <c r="L16" i="3" s="1"/>
  <c r="B22" i="3"/>
  <c r="B21" i="3"/>
  <c r="B20" i="3"/>
  <c r="B19" i="3"/>
  <c r="B18" i="3"/>
  <c r="B17" i="3"/>
  <c r="B16" i="3"/>
  <c r="G5" i="3"/>
  <c r="P5" i="3" s="1"/>
  <c r="F5" i="3"/>
  <c r="O5" i="3" s="1"/>
  <c r="D5" i="3"/>
  <c r="M5" i="3" s="1"/>
  <c r="C5" i="3"/>
  <c r="L5" i="3" s="1"/>
  <c r="B5" i="3"/>
  <c r="B4" i="3"/>
  <c r="B3" i="3"/>
  <c r="E5" i="3"/>
  <c r="N5" i="3" s="1"/>
  <c r="G9" i="3"/>
  <c r="P9" i="3" s="1"/>
  <c r="G8" i="3"/>
  <c r="P8" i="3" s="1"/>
  <c r="G7" i="3"/>
  <c r="P7" i="3" s="1"/>
  <c r="G6" i="3"/>
  <c r="P6" i="3" s="1"/>
  <c r="G4" i="3"/>
  <c r="P4" i="3" s="1"/>
  <c r="G3" i="3"/>
  <c r="P3" i="3" s="1"/>
  <c r="F9" i="3"/>
  <c r="O9" i="3" s="1"/>
  <c r="F8" i="3"/>
  <c r="O8" i="3" s="1"/>
  <c r="F7" i="3"/>
  <c r="O7" i="3" s="1"/>
  <c r="F6" i="3"/>
  <c r="O6" i="3" s="1"/>
  <c r="F4" i="3"/>
  <c r="O4" i="3" s="1"/>
  <c r="F3" i="3"/>
  <c r="O3" i="3" s="1"/>
  <c r="E9" i="3"/>
  <c r="N9" i="3" s="1"/>
  <c r="E8" i="3"/>
  <c r="N8" i="3" s="1"/>
  <c r="E7" i="3"/>
  <c r="N7" i="3" s="1"/>
  <c r="E6" i="3"/>
  <c r="N6" i="3" s="1"/>
  <c r="E4" i="3"/>
  <c r="N4" i="3" s="1"/>
  <c r="E3" i="3"/>
  <c r="N3" i="3" s="1"/>
  <c r="D9" i="3"/>
  <c r="M9" i="3" s="1"/>
  <c r="D8" i="3"/>
  <c r="M8" i="3" s="1"/>
  <c r="D7" i="3"/>
  <c r="M7" i="3" s="1"/>
  <c r="D6" i="3"/>
  <c r="M6" i="3" s="1"/>
  <c r="D4" i="3"/>
  <c r="M4" i="3" s="1"/>
  <c r="D3" i="3"/>
  <c r="M3" i="3" s="1"/>
  <c r="C9" i="3"/>
  <c r="L9" i="3" s="1"/>
  <c r="C8" i="3"/>
  <c r="L8" i="3" s="1"/>
  <c r="C7" i="3"/>
  <c r="L7" i="3" s="1"/>
  <c r="C6" i="3"/>
  <c r="L6" i="3" s="1"/>
  <c r="C4" i="3"/>
  <c r="L4" i="3" s="1"/>
  <c r="C3" i="3"/>
  <c r="L3" i="3" s="1"/>
  <c r="B9" i="3"/>
  <c r="B8" i="3"/>
  <c r="B7" i="3"/>
  <c r="B6" i="3"/>
  <c r="K19" i="3" l="1"/>
  <c r="H19" i="3"/>
  <c r="Q19" i="3" s="1"/>
  <c r="H18" i="3"/>
  <c r="Q18" i="3" s="1"/>
  <c r="K18" i="3"/>
  <c r="H17" i="3"/>
  <c r="Q17" i="3" s="1"/>
  <c r="K17" i="3"/>
  <c r="K16" i="3"/>
  <c r="H16" i="3"/>
  <c r="Q16" i="3" s="1"/>
  <c r="K5" i="3"/>
  <c r="H5" i="3"/>
  <c r="Q5" i="3" s="1"/>
  <c r="K4" i="3"/>
  <c r="H4" i="3"/>
  <c r="Q4" i="3" s="1"/>
  <c r="H3" i="3"/>
  <c r="Q3" i="3" s="1"/>
  <c r="K3" i="3"/>
  <c r="K9" i="3"/>
  <c r="H9" i="3"/>
  <c r="Q9" i="3" s="1"/>
  <c r="H8" i="3"/>
  <c r="Q8" i="3" s="1"/>
  <c r="K8" i="3"/>
  <c r="K7" i="3"/>
  <c r="H7" i="3"/>
  <c r="Q7" i="3" s="1"/>
  <c r="K6" i="3"/>
  <c r="H6" i="3"/>
  <c r="Q6" i="3" s="1"/>
  <c r="H22" i="3"/>
  <c r="Q22" i="3" s="1"/>
  <c r="K22" i="3"/>
  <c r="H21" i="3"/>
  <c r="Q21" i="3" s="1"/>
  <c r="K21" i="3"/>
  <c r="K20" i="3"/>
  <c r="H20" i="3"/>
  <c r="Q20" i="3" s="1"/>
</calcChain>
</file>

<file path=xl/sharedStrings.xml><?xml version="1.0" encoding="utf-8"?>
<sst xmlns="http://schemas.openxmlformats.org/spreadsheetml/2006/main" count="599" uniqueCount="187">
  <si>
    <t>Uitleg variabelen</t>
  </si>
  <si>
    <t>DATUM</t>
  </si>
  <si>
    <t>TITEL</t>
  </si>
  <si>
    <t>EPI_VS_THE</t>
  </si>
  <si>
    <t>HUMAN_INT</t>
  </si>
  <si>
    <t>VICTIM_BLA</t>
  </si>
  <si>
    <t>VERANT</t>
  </si>
  <si>
    <t>DOM_FRA</t>
  </si>
  <si>
    <t>LINK</t>
  </si>
  <si>
    <t>Incident= 1a 
Structureel= 1b
Beide= 1c
Geen= 1d</t>
  </si>
  <si>
    <t>OTHERNESS</t>
  </si>
  <si>
    <t xml:space="preserve">Nationaliteit= 3a
Ras= 3b
Etniciteit= 3c
Sociale context= 3d </t>
  </si>
  <si>
    <t>Afstandelijk= 4a
Persoonlijk= 4b
Gemengd= 4c</t>
  </si>
  <si>
    <t>URL</t>
  </si>
  <si>
    <t>(dd-mm-jj)</t>
  </si>
  <si>
    <t>Datum</t>
  </si>
  <si>
    <t>Titel</t>
  </si>
  <si>
    <r>
      <t xml:space="preserve">De variabele </t>
    </r>
    <r>
      <rPr>
        <i/>
        <sz val="12"/>
        <color theme="1"/>
        <rFont val="Aptos Narrow"/>
        <scheme val="minor"/>
      </rPr>
      <t xml:space="preserve">datum </t>
    </r>
    <r>
      <rPr>
        <sz val="12"/>
        <color theme="1"/>
        <rFont val="Aptos Narrow"/>
        <family val="2"/>
        <scheme val="minor"/>
      </rPr>
      <t>registreert de publicatiedatum van het geanalyseerde nieuwsartikel. De onderzoeksperiode is 20 augustus 2025, de dag dat het lichaam van Lisa werd aangetroffen, tot 20 september 2025. Hierbij is dus gekozen voor de directe nasleep van de gebeurtenis.</t>
    </r>
  </si>
  <si>
    <r>
      <t>Deze variabele kijkt naar bij wie de verantwoordelijkheid wordt gelegd in het nieuwsartikel (v</t>
    </r>
    <r>
      <rPr>
        <i/>
        <sz val="12"/>
        <color theme="1"/>
        <rFont val="Aptos Narrow"/>
        <scheme val="minor"/>
      </rPr>
      <t>erantwoordelijkheidsframe</t>
    </r>
    <r>
      <rPr>
        <sz val="12"/>
        <color theme="1"/>
        <rFont val="Aptos Narrow"/>
        <family val="2"/>
        <scheme val="minor"/>
      </rPr>
      <t>). Dit kan bijvoorbeeld zijn: het slachtoffer zelf, de dader, beleid/ de overheid of sociale ongelijkheid (6).</t>
    </r>
  </si>
  <si>
    <r>
      <t xml:space="preserve">Deze variabele kijkt naar welk frame het meest </t>
    </r>
    <r>
      <rPr>
        <i/>
        <sz val="12"/>
        <color theme="1"/>
        <rFont val="Aptos Narrow"/>
        <scheme val="minor"/>
      </rPr>
      <t>dominant</t>
    </r>
    <r>
      <rPr>
        <sz val="12"/>
        <color theme="1"/>
        <rFont val="Aptos Narrow"/>
        <family val="2"/>
        <scheme val="minor"/>
      </rPr>
      <t xml:space="preserve"> is in een nieuwsartikel. Dit is de meest overheersende/ meest aanwezige frame binnen een artikel (7).</t>
    </r>
  </si>
  <si>
    <r>
      <t xml:space="preserve">Deze variabele bevat de </t>
    </r>
    <r>
      <rPr>
        <i/>
        <sz val="12"/>
        <color theme="1"/>
        <rFont val="Aptos Narrow"/>
        <scheme val="minor"/>
      </rPr>
      <t>URL</t>
    </r>
    <r>
      <rPr>
        <sz val="12"/>
        <color theme="1"/>
        <rFont val="Aptos Narrow"/>
        <family val="2"/>
        <scheme val="minor"/>
      </rPr>
      <t xml:space="preserve"> van het geanalyseerde artikel en dient als controle- en verificatievariabele.</t>
    </r>
  </si>
  <si>
    <t>Good girl framing= 2a
Bad girl framing= 2b
Geen framing= 2c</t>
  </si>
  <si>
    <t>EUFEMISME</t>
  </si>
  <si>
    <t>Eufemistisch =5a
Neutraal= 5b
Expliciet= 5c</t>
  </si>
  <si>
    <r>
      <t xml:space="preserve">De variabele </t>
    </r>
    <r>
      <rPr>
        <i/>
        <sz val="12"/>
        <color theme="1"/>
        <rFont val="Aptos Narrow"/>
        <scheme val="minor"/>
      </rPr>
      <t xml:space="preserve">titel </t>
    </r>
    <r>
      <rPr>
        <sz val="12"/>
        <color theme="1"/>
        <rFont val="Aptos Narrow"/>
        <family val="2"/>
        <scheme val="minor"/>
      </rPr>
      <t>geeft de titel van de nieuwsartikelen weer zodat dit controleerbaar is.</t>
    </r>
  </si>
  <si>
    <r>
      <t xml:space="preserve">Deze variabele onderscheidt tussen een </t>
    </r>
    <r>
      <rPr>
        <i/>
        <sz val="12"/>
        <color theme="1"/>
        <rFont val="Aptos Narrow"/>
        <scheme val="minor"/>
      </rPr>
      <t>episodisch frame</t>
    </r>
    <r>
      <rPr>
        <sz val="12"/>
        <color theme="1"/>
        <rFont val="Aptos Narrow"/>
        <family val="2"/>
        <scheme val="minor"/>
      </rPr>
      <t xml:space="preserve"> (incidentframe) waarbij er wordt gesuggereert dat het om geïsoleerd gevallen gaat, en het </t>
    </r>
    <r>
      <rPr>
        <i/>
        <sz val="12"/>
        <color theme="1"/>
        <rFont val="Aptos Narrow"/>
        <scheme val="minor"/>
      </rPr>
      <t>thematische frame</t>
    </r>
    <r>
      <rPr>
        <sz val="12"/>
        <color theme="1"/>
        <rFont val="Aptos Narrow"/>
        <family val="2"/>
        <scheme val="minor"/>
      </rPr>
      <t xml:space="preserve"> (structurele frame) waarbij het wordt geplaatst in een bredere maatschappelijke context (1).</t>
    </r>
  </si>
  <si>
    <r>
      <t xml:space="preserve">Deze variabele kijkt naar in hoeverre er een </t>
    </r>
    <r>
      <rPr>
        <i/>
        <sz val="12"/>
        <color theme="1"/>
        <rFont val="Aptos Narrow"/>
        <scheme val="minor"/>
      </rPr>
      <t xml:space="preserve">'otherness' </t>
    </r>
    <r>
      <rPr>
        <sz val="12"/>
        <color theme="1"/>
        <rFont val="Aptos Narrow"/>
        <family val="2"/>
        <scheme val="minor"/>
      </rPr>
      <t>wordt gecreërd waarbij nationaliteit, ras, ethniciteit of sociale context worden benoemd en worden gepresenteerd als oorzaken van het geweld (3).</t>
    </r>
  </si>
  <si>
    <r>
      <t xml:space="preserve">Deze variabele toont in hoeverre er een emotionele invalshoek wordt gekozen </t>
    </r>
    <r>
      <rPr>
        <i/>
        <sz val="12"/>
        <color theme="1"/>
        <rFont val="Aptos Narrow"/>
        <scheme val="minor"/>
      </rPr>
      <t>(human interest frame)</t>
    </r>
    <r>
      <rPr>
        <sz val="12"/>
        <color theme="1"/>
        <rFont val="Aptos Narrow"/>
        <family val="2"/>
        <scheme val="minor"/>
      </rPr>
      <t xml:space="preserve"> als presentatie van een gebeurtenis. Hierbij wordt het nieuws gepersonaliseerd, gedramatiseerd of emotioneel ingezet om empathie bij het publiek op te wekken (4).</t>
    </r>
  </si>
  <si>
    <t>Slachtoffer= 6a
Dader= 6b
Overheid/ beleid= 6c
Sociale ongelijkheid= 6d</t>
  </si>
  <si>
    <r>
      <t>Deze variabele kijkt naar of het vrouwelijke slachtoffer zelf de schuld krijgt (</t>
    </r>
    <r>
      <rPr>
        <i/>
        <sz val="12"/>
        <color theme="1"/>
        <rFont val="Aptos Narrow"/>
        <scheme val="minor"/>
      </rPr>
      <t>victimg blaming</t>
    </r>
    <r>
      <rPr>
        <sz val="12"/>
        <color theme="1"/>
        <rFont val="Aptos Narrow"/>
        <family val="2"/>
        <scheme val="minor"/>
      </rPr>
      <t>) en dat zij neergezet wordt als 'bad girl' die zichzelf in deze situatie heeft gezet (bijvoorbeeld door bepaalde kleding of laat op straat zijn) of als 'good girl' die overeenkomt met traditionele opvattingen over vrouwelijkheid. Er wordt dus gekeken of zij zelf de schuld krijgt of niet (2).</t>
    </r>
  </si>
  <si>
    <t>Deze variabele kijkt naar het gebruik van eufemistisch taalgebruik in het nieuwsartikel. Hierbij wordt onderzocht in hoeverre het geweld wordt verzacht of juist expliciet wordt benoemd. Eufemistisch taalgebruik omvat termen zoals "incident", "zaak", "gebeurtenis" of "omgekomen". Expliciet taalgebruik omvat termen zoals "(ver)moord", "doodslag", "verkrachtig" of "geweld". Per artikel wordt gekeken welke vorm van taalgebruik dominant aanwezig is in het artikel (5).</t>
  </si>
  <si>
    <t>https://www.telegraaf.nl/binnenland/vermoorde-lisa-17-uit-abcoude-belde-nog-naar-112-politie-luisterde-live-mee-tijdens-aanval/85114523.html</t>
  </si>
  <si>
    <t>https://www.telegraaf.nl/binnenland/fietsende-vrouw-werd-belaagd-en-achtervolgd-op-zelfde-plek-waar-lisa-17-is-vermoord-ik-tril-nog-steeds-van-angst/84964896.html</t>
  </si>
  <si>
    <t>https://www.telegraaf.nl/misdaad/politie-geeft-beelden-vrij-van-getuigen-in-koortsachtige-klopjacht-op-dader-gruwelmoord-lisa-17-uit-abcoude/85146896.html</t>
  </si>
  <si>
    <t>https://www.telegraaf.nl/binnenland/politie-roept-buitenlandse-hulp-in-bij-moordonderzoek-lisa-17-belgische-speurhond-helpt-op-plaats-delict/85302317.html</t>
  </si>
  <si>
    <t>https://www.telegraaf.nl/binnenland/wie-is-de-verdachte-van-lisa-s-dood-identiteit-nog-steeds-onbekend/86735878.html</t>
  </si>
  <si>
    <t>https://www.telegraaf.nl/misdaad/per-direct-cameratoezicht-in-gebied-in-duivendrecht-waar-lisa-17-uit-abcoude-met-geweld-is-omgebracht-politie-zoekt-dringend-getuigen/84945287.html</t>
  </si>
  <si>
    <t>https://www.telegraaf.nl/binnenland/producten-voor-zelfverdediging-niet-aan-te-slepen-na-moord-op-lisa-17-begrijpelijk-maar-ook-heel-triest/85850605.html</t>
  </si>
  <si>
    <t>https://www.telegraaf.nl/binnenland/raadsels-rond-verdachte-moord-lisa-17-identiteit-niet-honderd-procent-vastgesteld/85782501.html</t>
  </si>
  <si>
    <t>https://www.telegraaf.nl/binnenland/femke-halsema-kondigt-pakket-maatregelen-aan-na-moord-op-17-jarige-lisa/89217281.html</t>
  </si>
  <si>
    <t>https://www.telegraaf.nl/binnenland/vermoorde-lisa-17-staat-symbool-voor-de-angst-van-veel-vrouwen-de-nacht-is-ook-van-ons/85293393.html</t>
  </si>
  <si>
    <t>https://www.telegraaf.nl/binnenland/verdachte-moord-lisa-17-eind-november-voor-de-rechter-beperkingen-opgeheven/91441898.html</t>
  </si>
  <si>
    <t>https://www.telegraaf.nl/binnenland/om-verdachte-moord-op-lisa-17-komt-mogelijk-uit-nigeria-identiteit-nog-niet-met-zekerheid-vastgesteld/87377808.html</t>
  </si>
  <si>
    <t>https://www.telegraaf.nl/misdaad/nieuw-onderzoek-bij-de-plek-waar-lisa-17-werd-gevonden/87582075.html</t>
  </si>
  <si>
    <t>https://www.telegraaf.nl/binnenland/meisje-17-dood-gevonden-in-amsterdam-slachtoffer-door-misdrijf-om-het-leven-gekomen/84761022.html</t>
  </si>
  <si>
    <t>https://www.telegraaf.nl/binnenland/familie-van-lisa-17-aanwezig-tijdens-minuut-stilte-op-feestweek-abcoude-ze-zijn-diep-geraakt/86123634.html</t>
  </si>
  <si>
    <t>https://www.telegraaf.nl/binnenland/vrijdag-is-afscheid-genomen-van-omgebrachte-lisa-uit-abcoude/86961525.html</t>
  </si>
  <si>
    <t>https://www.telegraaf.nl/binnenland/aangehouden-asielzoeker-22-in-moordzaak-lisa-17-vermoedelijk-ook-betrokken-bij-derde-incident/85376372.html</t>
  </si>
  <si>
    <t>https://www.telegraaf.nl/binnenland/veel-emoties-bij-nachtelijk-protest-na-moord-op-lisa-17-ineens-had-ik-twee-mannen-achter-me-aan/86442748.html</t>
  </si>
  <si>
    <t>https://www.telegraaf.nl/binnenland/gemeenten-nemen-extra-maatregelen-tegen-onveiligheid-op-straat/89058370.html</t>
  </si>
  <si>
    <t>https://www.telegraaf.nl/binnenland/de-nacht-is-ook-van-ons-dolle-mina-organiseert-landelijke-protestfietstochten-tegen-onveiligheid/86718513.html</t>
  </si>
  <si>
    <t>https://www.telegraaf.nl/binnenland/ouders-vermoorde-lisa-17-uit-abcoude-onze-harten-zijn-gebroken/85080188.html</t>
  </si>
  <si>
    <t>https://www.telegraaf.nl/binnenland/politie-doorzoekt-water-bij-coa-locatie-waar-verdachte-van-doden-17-jarige-lisa-mogelijk-woonde/85985002.html</t>
  </si>
  <si>
    <t>https://www.telegraaf.nl/nieuws/politie-vindt-mes-in-water-bij-coa-locatie-waar-verdachte-van-doden-lisa-17-verbleef/86001984.html</t>
  </si>
  <si>
    <t>https://www.telegraaf.nl/binnenland/identiteit-verdachte-asielzoeker-in-moordzaak-lisa-17-mysterie-ondanks-screening-hoe-kan-dat/86811567.html</t>
  </si>
  <si>
    <t>https://www.telegraaf.nl/misdaad/door-ernstig-geweld-omgebracht-lisa-17-uit-abcoude-werd-aangevallen-op-ongure-plek-terwijl-ze-naar-huis-fietste-politie-sluit-verband-met-eerder-misdrijf-niet-uit/84764248.html</t>
  </si>
  <si>
    <t>https://www.volkskrant.nl/binnenland/lisa-17-belde-zelf-nog-de-politie-voor-haar-gewelddadige-dood-in-duivendrecht~b6d55922/</t>
  </si>
  <si>
    <t>https://www.volkskrant.nl/binnenland/verdachte-zedendelict-weesperzijde-ook-verdacht-van-dood-van-17-jarige-lisa-en-eerdere-poging-tot-verkrachting~b7ed1838/</t>
  </si>
  <si>
    <t>https://www.volkskrant.nl/binnenland/in-hele-land-borden-met-wij-eisen-de-nacht-op-inzameling-levert-bijna-4-ton-op~b9417a0d/</t>
  </si>
  <si>
    <t>https://www.volkskrant.nl/binnenland/de-enge-man-in-de-bosjes-is-geen-gewone-man~b756e512/</t>
  </si>
  <si>
    <t>https://www.volkskrant.nl/binnenland/identiteit-verdachte-moord-lisa-nog-niet-duidelijk-door-ontbreken-papieren-nigeria-om-hulp-gevraagd~ba59742d/</t>
  </si>
  <si>
    <t>https://www.volkskrant.nl/nieuws-achtergrond/man-22-aangehouden-voor-zedendelict-in-amsterdam-verband-met-dood-lisa-17-onduidelijk~b0063e49/</t>
  </si>
  <si>
    <t>https://www.volkskrant.nl/binnenland/drie-ernstige-geweldsincidenten-tegen-vrouwen-in-een-week-hoe-groot-is-het-risico~bf1f5fa0/</t>
  </si>
  <si>
    <t>https://www.volkskrant.nl/binnenland/de-enge-man-in-de-bosjes-is-misschien-zeldzaam-maar-vrouwen-zijn-niet-voor-niets-bang-op-straat~b0cebede/</t>
  </si>
  <si>
    <t>https://www.volkskrant.nl/binnenland/tranen-en-stilte-bij-abcouder-feest-week-die-vooral-in-het-teken-staat-van-lisa-geen-waxinelichtje-meer-te-koop~be461243/</t>
  </si>
  <si>
    <t>https://www.volkskrant.nl/binnenland/politie-vist-met-magneten-naar-bewijsmateriaal-in-moordzaak-lisa-onder-toeziend-oog-honderden-passanten~b4d23820/</t>
  </si>
  <si>
    <t>https://www.volkskrant.nl/politiek/kabinet-onderzoekt-toestaan-pepperspray-als-verdedigingswapen~b0fb3ec9/</t>
  </si>
  <si>
    <t>https://www.volkskrant.nl/binnenland/amsterdam-trekt-6-miljoen-extra-uit-om-vrouwen-beter-te-beschermen-tegen-geweld~b4f9282d/</t>
  </si>
  <si>
    <t>1a</t>
  </si>
  <si>
    <t>2c</t>
  </si>
  <si>
    <t>4c</t>
  </si>
  <si>
    <t>5c</t>
  </si>
  <si>
    <t>6b</t>
  </si>
  <si>
    <t>7a</t>
  </si>
  <si>
    <t>EPISO= 7a
THEMA= 7b
VICTIM_BLA= 7c
OTHERNESS= 7d
HUMAN_INT= 7e
VERANT= 7f</t>
  </si>
  <si>
    <t>3a + 3c</t>
  </si>
  <si>
    <t>4a</t>
  </si>
  <si>
    <t>7f</t>
  </si>
  <si>
    <t>1b</t>
  </si>
  <si>
    <t>4b</t>
  </si>
  <si>
    <t>5b</t>
  </si>
  <si>
    <t>6c</t>
  </si>
  <si>
    <t>7b</t>
  </si>
  <si>
    <t>1c</t>
  </si>
  <si>
    <t>7e</t>
  </si>
  <si>
    <t>3a + 3d</t>
  </si>
  <si>
    <t>7d</t>
  </si>
  <si>
    <t>3d</t>
  </si>
  <si>
    <t>6d</t>
  </si>
  <si>
    <t>Lisa (17) belde zelf nog de politie voor haar gewelddadige dood in Duivendrecht</t>
  </si>
  <si>
    <t>Verdachte zedendelict Weesperzijde ook verdacht van dood van 17-jarige Lisa en eerdere poging tot verkrachting</t>
  </si>
  <si>
    <t>In hele land borden met ‘Wij eisen de nacht op’, inzameling levert bijna 4 ton op</t>
  </si>
  <si>
    <t>Tranen en stilte bij Abcouder Feest­week, die vooral in het teken staat van Lisa: ‘Geen waxinelichtje meer te koop’</t>
  </si>
  <si>
    <t>Identiteit verdachte moord Lisa nog niet duidelijk door ontbreken papieren, Nigeria om hulp gevraagd</t>
  </si>
  <si>
    <t>Man (22) aangehouden voor zedendelict in Amsterdam, verband met dood Lisa (17) onduidelijk</t>
  </si>
  <si>
    <t>Drie ernstige geweldsincidenten tegen vrouwen in een week: hoe groot is het risico?</t>
  </si>
  <si>
    <t>De ‘enge man in de bosjes’ is misschien zeldzaam, maar vrouwen zijn niet voor niets bang op straat</t>
  </si>
  <si>
    <t>De enge man in de bosjes is geen ‘gewone’ man: ‘Het zijn gruwelijke incidenten met gestoorde mensen</t>
  </si>
  <si>
    <t>Politie vist met magneten naar bewijsmateriaal in moordzaak-Lisa, onder toeziend oog honderden passanten</t>
  </si>
  <si>
    <t>Wat is de verantwoordelijkheid van mannen bij gendergeweld? ‘Een moord zoals die op Lisa is geen losstaand incident’</t>
  </si>
  <si>
    <t>Amsterdam trekt 6 miljoen extra uit om vrouwen beter te beschermen tegen geweld</t>
  </si>
  <si>
    <t>https://www.volkskrant.nl/binnenland/zondebokpolitiek-overschreeuwt-het-protest-tegen-seksisme-ze-misbruiken-geweld-tegen-vrouwen-om-haat-aan-te-wakkeren~bc02290b/</t>
  </si>
  <si>
    <t>Kabinet onderzoekt toestaan pepperspray als verdedigingswapen</t>
  </si>
  <si>
    <t>Vermoorde Lisa (17) uit Abcoude belde nog naar 112: politie luisterde live mee tijdens aanval</t>
  </si>
  <si>
    <t>Wie is de verdachte van Lisa’s dood? Identiteit nog steeds onbekend</t>
  </si>
  <si>
    <t>Politie roept buitenlandse hulp in bij moordonderzoek Lisa (17): Belgische speurhond helpt op plaats delict</t>
  </si>
  <si>
    <t>Politie geeft beelden vrij van getuigen in koortsachtige klopjacht op dader gruwelmoord Lisa (17) uit Abcoude</t>
  </si>
  <si>
    <t>Fietsende vrouw werd belaagd en achtervolgd op zelfde plek waar Lisa (17) is vermoord: ’Ik tril nog steeds van angst’</t>
  </si>
  <si>
    <t>Per direct cameratoezicht in gebied in Duivendrecht waar Lisa (17) uit Abcoude met geweld is omgebracht: politie zoekt dringend getuigen</t>
  </si>
  <si>
    <t>Producten voor zelfverdediging niet aan te slepen na moord op Lisa (17): ’Begrijpelijk, maar ook heel triest’</t>
  </si>
  <si>
    <t>Raadsels rond verdachte moord Lisa (17): ’Identiteit niet honderd procent vastgesteld’</t>
  </si>
  <si>
    <t>Femke Halsema kondigt pakket maatregelen aan na moord op 17-jarige Lisa</t>
  </si>
  <si>
    <t>Vermoorde Lisa (17) staat symbool voor de angst van veel vrouwen: ’De nacht is ook van ons’</t>
  </si>
  <si>
    <t>Verdachte moord Lisa (17) eind november voor de rechter, beperkingen opgeheven</t>
  </si>
  <si>
    <t>OM: verdachte moord op Lisa (17) komt mogelijk uit Nigeria, identiteit nog niet met zekerheid vastgesteld</t>
  </si>
  <si>
    <t>Nieuw onderzoek bij de plek waar Lisa (17) werd gevonden</t>
  </si>
  <si>
    <t>Meisje (17) dood gevonden in Amsterdam, slachtoffer door misdrijf om het leven gekomen</t>
  </si>
  <si>
    <t>Familie van Lisa (17) aanwezig tijdens minuut stilte op feestweek Abcoude: ’Ze zijn diep geraakt’</t>
  </si>
  <si>
    <t>Vrijdag is afscheid genomen van omgebrachte Lisa uit Abcoude</t>
  </si>
  <si>
    <t>Aangehouden asielzoeker (22) in moordzaak Lisa (17) vermoedelijk ook betrokken bij derde incident</t>
  </si>
  <si>
    <t>Veel emoties bij nachtelijk protest na moord op Lisa (17): ’Ineens had ik twee mannen achter me aan’</t>
  </si>
  <si>
    <t>Gemeenten nemen extra maatregelen tegen onveiligheid op straat</t>
  </si>
  <si>
    <t>De nacht is ook van ons: Dolle Mina organiseert landelijke protestfietstochten tegen onveiligheid</t>
  </si>
  <si>
    <t>Ouders vermoorde Lisa (17) uit Abcoude: ’Onze harten zijn gebroken’</t>
  </si>
  <si>
    <t>Politie vindt mes in water bij COA-locatie waar verdachte van doden Lisa (17) verbleef</t>
  </si>
  <si>
    <t>Politie doorzoekt water bij COA-locatie waar verdachte van doden 17-jarige Lisa mogelijk woonde</t>
  </si>
  <si>
    <t>Identiteit verdachte asielzoeker in moordzaak Lisa (17) mysterie ondanks screening: hoe kan dat?</t>
  </si>
  <si>
    <t>Door ernstig geweld omgebracht Lisa (17) uit Abcoude werd aangevallen op ’ongure plek’ terwijl ze naar huis fietste: politie sluit verband met eerder misdrijf niet uit</t>
  </si>
  <si>
    <t>https://www.volkskrant.nl/binnenland/kamer-pleit-voor-een-nationaal-coordinator-femicide-na-oplaaiend-geweld-tegen-vrouwen~ba179702/</t>
  </si>
  <si>
    <t>Kamer pleit voor een nationaal coördinator femicide na oplaaiend geweld tegen vrouwen</t>
  </si>
  <si>
    <t>https://www.volkskrant.nl/binnenland/zo-on-veilig-is-de-straat-s-nachts-voor-vrouwen-als-je-deze-brug-overgaat-fiets-je-zo-een-zwart-gat-in~b3d837e8/</t>
  </si>
  <si>
    <t>Zo (on)veilig is de straat ’s nachts voor vrouwen: ‘Als je deze brug overgaat, fiets je zo een zwart gat in’</t>
  </si>
  <si>
    <t>https://www.volkskrant.nl/nieuws-achtergrond/staat-onzekerheid-over-identiteit-verdachte-in-zaak-lisa-een-veroordeling-in-de-weg~b89f4946/</t>
  </si>
  <si>
    <t>Staat onzekerheid over identiteit verdachte in zaak-Lisa een veroordeling in de weg?</t>
  </si>
  <si>
    <t>3a + 3c + 3d</t>
  </si>
  <si>
    <t>https://www.volkskrant.nl/nieuws-achtergrond/om-camerabeelden-en-dna-sporen-linken-verdachte-chris-jude-aan-moord-op-lisa~bcf7582b/</t>
  </si>
  <si>
    <t>OM: Camerabeelden en DNA-sporen linken verdachte Chris Jude aan moord op Lisa</t>
  </si>
  <si>
    <t>https://www.volkskrant.nl/binnenland/verdachte-heeft-rechter-niets-te-zeggen-over-de-dood-van-lisa-17-hij-weet-vaak-achteraf-niet-wat-hij-heeft-gedaan~b142e5b6/</t>
  </si>
  <si>
    <t>Verdachte heeft rechter niets te zeggen over de dood van Lisa (17): ‘Hij weet vaak achteraf niet wat hij heeft gedaan’</t>
  </si>
  <si>
    <t>https://www.telegraaf.nl/binnenland/fietspad-waar-lisa-is-vermoord-is-volgens-bewoners-nog-steeds-onveilig-als-het-donker-is-pak-ik-een-taxi/104402536.html</t>
  </si>
  <si>
    <t>Fietspad waar Lisa is vermoord, is volgens bewoners nog steeds onveilig: ’Als het donker is, pak ik een taxi’</t>
  </si>
  <si>
    <t>https://www.telegraaf.nl/nieuws/nigeriaanse-verdachte-kan-zich-niets-herinneren-van-dood-lisa-nog-steeds-raadsels-rond-identiteit-chris-jude-22/106816030.html</t>
  </si>
  <si>
    <t>’Nigeriaanse verdachte kan zich niets herinneren van dood Lisa’: nog steeds raadsels rond identiteit ’Chris Jude (22)’</t>
  </si>
  <si>
    <t>https://www.telegraaf.nl/binnenland/twijfel-of-nederland-echt-iets-heeft-geleerd-van-gruwelmoord-op-lisa-17-de-weerstand-zit-diep/106989821.html</t>
  </si>
  <si>
    <t>Twijfel of Nederland écht iets heeft geleerd van gruwelmoord op Lisa (17): ’De weerstand zit diep’</t>
  </si>
  <si>
    <t>https://www.telegraaf.nl/binnenland/verdachte-moord-lisa-17-uit-abcoude-voor-de-rechter-maar-identiteit-is-nog-steeds-onzeker-deze-gevolgen-heeft-dat-voor-zijn-mogelijke-straf-en-uitzetting/107151534.html</t>
  </si>
  <si>
    <t>Verdachte moord Lisa (17) uit Abcoude voor de rechter, maar identiteit is nog steeds onzeker: deze gevolgen heeft dat voor zijn mogelijke straf en uitzetting</t>
  </si>
  <si>
    <t>https://www.telegraaf.nl/binnenland/om-4.07-uur-belde-lisa-17-met-112-om-4.15-uur-werd-ze-dood-gevonden-nee-help-me/107501467.html</t>
  </si>
  <si>
    <t>Om 4.07 uur belde Lisa (17) met 112, om 4.15 uur werd ze dood gevonden: ’Nee, help me!’</t>
  </si>
  <si>
    <t>3a + 3b + 3c + 3d</t>
  </si>
  <si>
    <t>https://www.telegraaf.nl/binnenland/bloedspoor-leidt-naar-nieuwe-verdenking-tegen-moordverdachte-lisa-17-om-breidt-aanklacht-uit/128226714.html</t>
  </si>
  <si>
    <t>Bloedspoor leidt naar nieuwe verdenking tegen moordverdachte Lisa (17): OM breidt aanklacht uit</t>
  </si>
  <si>
    <t>https://www.telegraaf.nl/binnenland/verdachte-chris-jude-bekent-moord-op-lisa-17-en-andere-verdenkingen/131018970.html</t>
  </si>
  <si>
    <t>Verdachte Chris Jude bekent moord op Lisa (17) en andere verdenkingen</t>
  </si>
  <si>
    <t>https://www.telegraaf.nl/binnenland/chris-jude-bekent-moord-op-lisa-maar-wat-gebeurt-er-eigenlijk-met-een-criminele-asielzoeker-celstraffen-moeten-eerst-worden-uitgezeten/131315426.html</t>
  </si>
  <si>
    <t>’Chris Jude’ bekent moord op Lisa, maar wat gebeurt er eigenlijk met een criminele asielzoeker? ’Celstraffen moeten eerst worden uitgezeten’</t>
  </si>
  <si>
    <t>https://www.volkskrant.nl/binnenland/meer-zedenzaken-gemeld-in-amsterdam-door-nieuwe-wet-en-grotere-meldingsbereidheid~b32dfa83/</t>
  </si>
  <si>
    <t>https://www.volkskrant.nl/binnenland/om-verdachte-bekent-moord-op-17-jarige-lisa-en-eerdere-zedenmisdrijven~b23929ec/</t>
  </si>
  <si>
    <t>Meer zedenzaken gemeld in Amsterdam door nieuwe wet en grotere meldingsbereidheid</t>
  </si>
  <si>
    <t>OM: verdachte bekent moord op 17-jarige Lisa, en eerdere zedenmisdrijven</t>
  </si>
  <si>
    <t>De Volkskrant</t>
  </si>
  <si>
    <t>a</t>
  </si>
  <si>
    <t>b</t>
  </si>
  <si>
    <t>c</t>
  </si>
  <si>
    <t>d</t>
  </si>
  <si>
    <t>e</t>
  </si>
  <si>
    <t>f</t>
  </si>
  <si>
    <t>Totaal</t>
  </si>
  <si>
    <t>De Telegraaf</t>
  </si>
  <si>
    <t>tot</t>
  </si>
  <si>
    <t xml:space="preserve">1. EPI_VS_THE </t>
  </si>
  <si>
    <t>2. VICTIM_BLA</t>
  </si>
  <si>
    <t>3. OTHERNESS</t>
  </si>
  <si>
    <t>4. HUMAN_INT</t>
  </si>
  <si>
    <t>5. EUFEMISME</t>
  </si>
  <si>
    <t>6. VERANT</t>
  </si>
  <si>
    <t>7. DOM_FRA</t>
  </si>
  <si>
    <t>1. EPI_VS_THE</t>
  </si>
  <si>
    <t>(Absoluut)</t>
  </si>
  <si>
    <t>(Verhouding)</t>
  </si>
  <si>
    <t>KRANT</t>
  </si>
  <si>
    <t>Volkskrant</t>
  </si>
  <si>
    <t>Telegraaf</t>
  </si>
  <si>
    <t>TYPE</t>
  </si>
  <si>
    <t>Column Labels</t>
  </si>
  <si>
    <t>Row Labels</t>
  </si>
  <si>
    <t>Sum of 7. DOM_FRA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</si>
</sst>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ptos Narrow"/>
      <family val="2"/>
      <scheme val="minor"/>
    </font>
    <font>
      <sz val="20"/>
      <color theme="0"/>
      <name val="Aptos Narrow (Hoofdtekst)"/>
    </font>
    <font>
      <b/>
      <sz val="12"/>
      <color theme="1"/>
      <name val="Aptos Narrow"/>
      <scheme val="minor"/>
    </font>
    <font>
      <i/>
      <sz val="12"/>
      <color theme="1"/>
      <name val="Aptos Narrow"/>
      <scheme val="minor"/>
    </font>
    <font>
      <u/>
      <sz val="12"/>
      <color theme="10"/>
      <name val="Aptos Narrow"/>
      <family val="2"/>
      <scheme val="minor"/>
    </font>
    <font>
      <sz val="12"/>
      <color rgb="FF000000"/>
      <name val="Aptos Narrow"/>
      <scheme val="minor"/>
    </font>
    <font>
      <sz val="12"/>
      <color rgb="FF000000"/>
      <name val="Aptos Narrow"/>
      <family val="2"/>
      <scheme val="minor"/>
    </font>
    <font>
      <sz val="12"/>
      <color rgb="FF000000"/>
      <name val="Aptos Narrow (Hoofdtekst)"/>
    </font>
    <font>
      <sz val="12"/>
      <color rgb="FF202223"/>
      <name val="Aptos Narrow"/>
      <scheme val="minor"/>
    </font>
    <font>
      <sz val="11"/>
      <color rgb="FF000000"/>
      <name val="Aptos Narrow"/>
      <scheme val="minor"/>
    </font>
    <font>
      <sz val="12"/>
      <color theme="1"/>
      <name val="Aptos Narrow"/>
      <family val="2"/>
      <scheme val="minor"/>
    </font>
    <font>
      <sz val="12"/>
      <color theme="0"/>
      <name val="Aptos Narrow"/>
      <family val="2"/>
      <scheme val="minor"/>
    </font>
    <font>
      <sz val="16"/>
      <color theme="1"/>
      <name val="Aptos Narrow (Hoofdtekst)"/>
    </font>
    <font>
      <sz val="16"/>
      <color theme="1"/>
      <name val="Aptos Narrow"/>
      <family val="2"/>
      <scheme val="minor"/>
    </font>
  </fonts>
  <fills count="5">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rgb="FFF6EFD9"/>
        <bgColor indexed="64"/>
      </patternFill>
    </fill>
  </fills>
  <borders count="7">
    <border>
      <left/>
      <right/>
      <top/>
      <bottom/>
      <diagonal/>
    </border>
    <border>
      <left style="thin">
        <color theme="8"/>
      </left>
      <right style="thin">
        <color theme="8"/>
      </right>
      <top style="thin">
        <color theme="8"/>
      </top>
      <bottom style="thin">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diagonal/>
    </border>
  </borders>
  <cellStyleXfs count="3">
    <xf numFmtId="0" fontId="0" fillId="0" borderId="0"/>
    <xf numFmtId="0" fontId="4" fillId="0" borderId="0" applyNumberFormat="0" applyFill="0" applyBorder="0" applyAlignment="0" applyProtection="0"/>
    <xf numFmtId="9" fontId="10" fillId="0" borderId="0" applyFont="0" applyFill="0" applyBorder="0" applyAlignment="0" applyProtection="0"/>
  </cellStyleXfs>
  <cellXfs count="42">
    <xf numFmtId="0" fontId="0" fillId="0" borderId="0" xfId="0"/>
    <xf numFmtId="0" fontId="0" fillId="0" borderId="0" xfId="0" applyAlignment="1">
      <alignment vertical="top"/>
    </xf>
    <xf numFmtId="0" fontId="0" fillId="0" borderId="0" xfId="0" applyAlignment="1">
      <alignment vertical="top" wrapText="1"/>
    </xf>
    <xf numFmtId="0" fontId="1" fillId="2" borderId="0" xfId="0" applyFont="1" applyFill="1"/>
    <xf numFmtId="0" fontId="0" fillId="2" borderId="0" xfId="0" applyFill="1"/>
    <xf numFmtId="0" fontId="0" fillId="0" borderId="1" xfId="0" applyBorder="1" applyAlignment="1">
      <alignment vertical="top" wrapText="1"/>
    </xf>
    <xf numFmtId="0" fontId="2" fillId="3" borderId="1" xfId="0" applyFont="1" applyFill="1" applyBorder="1" applyAlignment="1">
      <alignment vertical="top"/>
    </xf>
    <xf numFmtId="0" fontId="0" fillId="0" borderId="0" xfId="0" applyAlignment="1">
      <alignment wrapText="1"/>
    </xf>
    <xf numFmtId="14" fontId="0" fillId="0" borderId="0" xfId="0" applyNumberFormat="1" applyAlignment="1">
      <alignment vertical="top"/>
    </xf>
    <xf numFmtId="0" fontId="4" fillId="0" borderId="0" xfId="1" applyAlignment="1">
      <alignment vertical="top" wrapText="1"/>
    </xf>
    <xf numFmtId="0" fontId="5" fillId="0" borderId="0" xfId="0" applyFont="1" applyAlignment="1">
      <alignment vertical="top" wrapText="1"/>
    </xf>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wrapText="1"/>
    </xf>
    <xf numFmtId="0" fontId="9"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3" xfId="0" applyBorder="1" applyAlignment="1">
      <alignment vertical="top" wrapText="1"/>
    </xf>
    <xf numFmtId="0" fontId="0" fillId="0" borderId="4" xfId="0" applyBorder="1" applyAlignment="1">
      <alignment vertical="top"/>
    </xf>
    <xf numFmtId="0" fontId="11" fillId="2" borderId="0" xfId="0" applyFont="1" applyFill="1"/>
    <xf numFmtId="0" fontId="0" fillId="3" borderId="0" xfId="0" applyFill="1"/>
    <xf numFmtId="0" fontId="0" fillId="0" borderId="2" xfId="0" applyBorder="1"/>
    <xf numFmtId="0" fontId="0" fillId="0" borderId="1" xfId="0" applyBorder="1"/>
    <xf numFmtId="9" fontId="0" fillId="0" borderId="1" xfId="2" applyFont="1" applyBorder="1"/>
    <xf numFmtId="0" fontId="0" fillId="0" borderId="5" xfId="0" applyBorder="1"/>
    <xf numFmtId="9" fontId="0" fillId="0" borderId="5" xfId="2" applyFont="1" applyBorder="1"/>
    <xf numFmtId="0" fontId="12" fillId="0" borderId="0" xfId="0" applyFont="1"/>
    <xf numFmtId="0" fontId="11" fillId="0" borderId="0" xfId="0" applyFont="1"/>
    <xf numFmtId="0" fontId="13" fillId="0" borderId="0" xfId="0" applyFont="1"/>
    <xf numFmtId="0" fontId="11" fillId="2" borderId="0" xfId="0" applyFont="1" applyFill="1" applyAlignment="1">
      <alignment horizontal="center"/>
    </xf>
    <xf numFmtId="0" fontId="0" fillId="3" borderId="0" xfId="0" applyFill="1" applyAlignment="1">
      <alignment horizontal="center"/>
    </xf>
    <xf numFmtId="9" fontId="0" fillId="4" borderId="5" xfId="2" applyFont="1" applyFill="1" applyBorder="1"/>
    <xf numFmtId="9" fontId="0" fillId="4" borderId="1" xfId="2" applyFont="1" applyFill="1" applyBorder="1"/>
    <xf numFmtId="0" fontId="0" fillId="4" borderId="1" xfId="0" applyFill="1" applyBorder="1"/>
    <xf numFmtId="0" fontId="0" fillId="4" borderId="5" xfId="0" applyFill="1" applyBorder="1"/>
    <xf numFmtId="0" fontId="0" fillId="0" borderId="6" xfId="0" applyBorder="1"/>
    <xf numFmtId="9" fontId="0" fillId="0" borderId="0" xfId="2" applyFont="1"/>
    <xf numFmtId="0" fontId="0" fillId="0" borderId="0" xfId="0" pivotButton="1"/>
    <xf numFmtId="9" fontId="0" fillId="0" borderId="0" xfId="0" applyNumberFormat="1"/>
    <xf numFmtId="0" fontId="0" fillId="0" borderId="0" xfId="0" applyAlignment="1">
      <alignment horizontal="left"/>
    </xf>
  </cellXfs>
  <cellStyles count="3">
    <cellStyle name="Hyperlink" xfId="1" builtinId="8"/>
    <cellStyle name="Procent" xfId="2" builtinId="5"/>
    <cellStyle name="Standaard" xfId="0" builtinId="0"/>
  </cellStyles>
  <dxfs count="22">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colors>
    <mruColors>
      <color rgb="FFF6E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pivotSource>
    <c:name>[Codeboek praktijkonderzoek - Amanda Arcadia Algra.xlsx]Grafieken!PivotTable1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DOM_FRA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ivotFmts>
      <c:pivotFmt>
        <c:idx val="0"/>
        <c:spPr>
          <a:solidFill>
            <a:schemeClr val="accent5"/>
          </a:solidFill>
          <a:ln>
            <a:noFill/>
          </a:ln>
          <a:effectLst/>
        </c:spPr>
        <c:marker>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5"/>
          </a:solidFill>
          <a:ln>
            <a:noFill/>
          </a:ln>
          <a:effectLst/>
        </c:spPr>
        <c:marker>
          <c:spPr>
            <a:solidFill>
              <a:schemeClr val="accent5"/>
            </a:solidFill>
            <a:ln w="9525">
              <a:solidFill>
                <a:schemeClr val="accent5"/>
              </a:solidFill>
            </a:ln>
            <a:effectLst/>
          </c:spPr>
        </c:marker>
      </c:pivotFmt>
      <c:pivotFmt>
        <c:idx val="2"/>
      </c:pivotFmt>
      <c:pivotFmt>
        <c:idx val="3"/>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5"/>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Grafieken!$C$18:$C$19</c:f>
              <c:strCache>
                <c:ptCount val="1"/>
                <c:pt idx="0">
                  <c:v>Telegraaf</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Grafieken!$B$20:$B$25</c:f>
              <c:strCache>
                <c:ptCount val="6"/>
                <c:pt idx="0">
                  <c:v>a</c:v>
                </c:pt>
                <c:pt idx="1">
                  <c:v>b</c:v>
                </c:pt>
                <c:pt idx="2">
                  <c:v>c</c:v>
                </c:pt>
                <c:pt idx="3">
                  <c:v>d</c:v>
                </c:pt>
                <c:pt idx="4">
                  <c:v>e</c:v>
                </c:pt>
                <c:pt idx="5">
                  <c:v>f</c:v>
                </c:pt>
              </c:strCache>
            </c:strRef>
          </c:cat>
          <c:val>
            <c:numRef>
              <c:f>Grafieken!$C$20:$C$25</c:f>
              <c:numCache>
                <c:formatCode>0%</c:formatCode>
                <c:ptCount val="6"/>
                <c:pt idx="0">
                  <c:v>0.33333333333333331</c:v>
                </c:pt>
                <c:pt idx="1">
                  <c:v>0.21212121212121213</c:v>
                </c:pt>
                <c:pt idx="2">
                  <c:v>0</c:v>
                </c:pt>
                <c:pt idx="3">
                  <c:v>0.21212121212121213</c:v>
                </c:pt>
                <c:pt idx="4">
                  <c:v>0.15151515151515152</c:v>
                </c:pt>
                <c:pt idx="5">
                  <c:v>9.0909090909090912E-2</c:v>
                </c:pt>
              </c:numCache>
            </c:numRef>
          </c:val>
          <c:extLst>
            <c:ext xmlns:c16="http://schemas.microsoft.com/office/drawing/2014/chart" uri="{C3380CC4-5D6E-409C-BE32-E72D297353CC}">
              <c16:uniqueId val="{00000000-E18C-49E1-9D79-6945F8C1206F}"/>
            </c:ext>
          </c:extLst>
        </c:ser>
        <c:ser>
          <c:idx val="1"/>
          <c:order val="1"/>
          <c:tx>
            <c:strRef>
              <c:f>Grafieken!$D$18:$D$19</c:f>
              <c:strCache>
                <c:ptCount val="1"/>
                <c:pt idx="0">
                  <c:v>Volkskrant</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Grafieken!$B$20:$B$25</c:f>
              <c:strCache>
                <c:ptCount val="6"/>
                <c:pt idx="0">
                  <c:v>a</c:v>
                </c:pt>
                <c:pt idx="1">
                  <c:v>b</c:v>
                </c:pt>
                <c:pt idx="2">
                  <c:v>c</c:v>
                </c:pt>
                <c:pt idx="3">
                  <c:v>d</c:v>
                </c:pt>
                <c:pt idx="4">
                  <c:v>e</c:v>
                </c:pt>
                <c:pt idx="5">
                  <c:v>f</c:v>
                </c:pt>
              </c:strCache>
            </c:strRef>
          </c:cat>
          <c:val>
            <c:numRef>
              <c:f>Grafieken!$D$20:$D$25</c:f>
              <c:numCache>
                <c:formatCode>0%</c:formatCode>
                <c:ptCount val="6"/>
                <c:pt idx="0">
                  <c:v>0.2</c:v>
                </c:pt>
                <c:pt idx="1">
                  <c:v>0.45</c:v>
                </c:pt>
                <c:pt idx="2">
                  <c:v>0</c:v>
                </c:pt>
                <c:pt idx="3">
                  <c:v>0.05</c:v>
                </c:pt>
                <c:pt idx="4">
                  <c:v>0.25</c:v>
                </c:pt>
                <c:pt idx="5">
                  <c:v>0.05</c:v>
                </c:pt>
              </c:numCache>
            </c:numRef>
          </c:val>
          <c:extLst>
            <c:ext xmlns:c16="http://schemas.microsoft.com/office/drawing/2014/chart" uri="{C3380CC4-5D6E-409C-BE32-E72D297353CC}">
              <c16:uniqueId val="{00000002-E18C-49E1-9D79-6945F8C1206F}"/>
            </c:ext>
          </c:extLst>
        </c:ser>
        <c:dLbls>
          <c:dLblPos val="outEnd"/>
          <c:showLegendKey val="0"/>
          <c:showVal val="1"/>
          <c:showCatName val="0"/>
          <c:showSerName val="0"/>
          <c:showPercent val="0"/>
          <c:showBubbleSize val="0"/>
        </c:dLbls>
        <c:gapWidth val="219"/>
        <c:overlap val="-27"/>
        <c:axId val="338167071"/>
        <c:axId val="338169471"/>
      </c:barChart>
      <c:catAx>
        <c:axId val="33816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38169471"/>
        <c:crosses val="autoZero"/>
        <c:auto val="1"/>
        <c:lblAlgn val="ctr"/>
        <c:lblOffset val="100"/>
        <c:noMultiLvlLbl val="0"/>
      </c:catAx>
      <c:valAx>
        <c:axId val="33816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381670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1166812</xdr:colOff>
      <xdr:row>1</xdr:row>
      <xdr:rowOff>85725</xdr:rowOff>
    </xdr:from>
    <xdr:to>
      <xdr:col>18</xdr:col>
      <xdr:colOff>14287</xdr:colOff>
      <xdr:row>15</xdr:row>
      <xdr:rowOff>28575</xdr:rowOff>
    </xdr:to>
    <xdr:graphicFrame macro="">
      <xdr:nvGraphicFramePr>
        <xdr:cNvPr id="2" name="Chart 1">
          <a:extLst>
            <a:ext uri="{FF2B5EF4-FFF2-40B4-BE49-F238E27FC236}">
              <a16:creationId xmlns:a16="http://schemas.microsoft.com/office/drawing/2014/main" id="{672D8904-40E4-4EAE-0914-61D23709E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26</xdr:row>
      <xdr:rowOff>0</xdr:rowOff>
    </xdr:from>
    <xdr:to>
      <xdr:col>7</xdr:col>
      <xdr:colOff>735588</xdr:colOff>
      <xdr:row>39</xdr:row>
      <xdr:rowOff>150774</xdr:rowOff>
    </xdr:to>
    <xdr:pic>
      <xdr:nvPicPr>
        <xdr:cNvPr id="4" name="Picture 3">
          <a:extLst>
            <a:ext uri="{FF2B5EF4-FFF2-40B4-BE49-F238E27FC236}">
              <a16:creationId xmlns:a16="http://schemas.microsoft.com/office/drawing/2014/main" id="{B5734B6E-8DAB-C1E8-AB65-438279865B9B}"/>
            </a:ext>
          </a:extLst>
        </xdr:cNvPr>
        <xdr:cNvPicPr>
          <a:picLocks noChangeAspect="1"/>
        </xdr:cNvPicPr>
      </xdr:nvPicPr>
      <xdr:blipFill>
        <a:blip xmlns:r="http://schemas.openxmlformats.org/officeDocument/2006/relationships" r:embed="rId2"/>
        <a:stretch>
          <a:fillRect/>
        </a:stretch>
      </xdr:blipFill>
      <xdr:spPr>
        <a:xfrm>
          <a:off x="677333" y="5173133"/>
          <a:ext cx="7864522" cy="2737341"/>
        </a:xfrm>
        <a:prstGeom prst="rect">
          <a:avLst/>
        </a:prstGeom>
      </xdr:spPr>
    </xdr:pic>
    <xdr:clientData/>
  </xdr:twoCellAnchor>
  <xdr:twoCellAnchor editAs="oneCell">
    <xdr:from>
      <xdr:col>1</xdr:col>
      <xdr:colOff>0</xdr:colOff>
      <xdr:row>41</xdr:row>
      <xdr:rowOff>0</xdr:rowOff>
    </xdr:from>
    <xdr:to>
      <xdr:col>7</xdr:col>
      <xdr:colOff>735588</xdr:colOff>
      <xdr:row>54</xdr:row>
      <xdr:rowOff>150774</xdr:rowOff>
    </xdr:to>
    <xdr:pic>
      <xdr:nvPicPr>
        <xdr:cNvPr id="7" name="Picture 6">
          <a:extLst>
            <a:ext uri="{FF2B5EF4-FFF2-40B4-BE49-F238E27FC236}">
              <a16:creationId xmlns:a16="http://schemas.microsoft.com/office/drawing/2014/main" id="{E50AB41F-6618-D414-3125-67AE41B1085B}"/>
            </a:ext>
          </a:extLst>
        </xdr:cNvPr>
        <xdr:cNvPicPr>
          <a:picLocks noChangeAspect="1"/>
        </xdr:cNvPicPr>
      </xdr:nvPicPr>
      <xdr:blipFill>
        <a:blip xmlns:r="http://schemas.openxmlformats.org/officeDocument/2006/relationships" r:embed="rId3"/>
        <a:stretch>
          <a:fillRect/>
        </a:stretch>
      </xdr:blipFill>
      <xdr:spPr>
        <a:xfrm>
          <a:off x="677333" y="8157633"/>
          <a:ext cx="7864522" cy="2737341"/>
        </a:xfrm>
        <a:prstGeom prst="rect">
          <a:avLst/>
        </a:prstGeom>
      </xdr:spPr>
    </xdr:pic>
    <xdr:clientData/>
  </xdr:twoCellAnchor>
  <xdr:twoCellAnchor editAs="oneCell">
    <xdr:from>
      <xdr:col>1</xdr:col>
      <xdr:colOff>0</xdr:colOff>
      <xdr:row>56</xdr:row>
      <xdr:rowOff>0</xdr:rowOff>
    </xdr:from>
    <xdr:to>
      <xdr:col>7</xdr:col>
      <xdr:colOff>735588</xdr:colOff>
      <xdr:row>69</xdr:row>
      <xdr:rowOff>150774</xdr:rowOff>
    </xdr:to>
    <xdr:pic>
      <xdr:nvPicPr>
        <xdr:cNvPr id="8" name="Picture 7">
          <a:extLst>
            <a:ext uri="{FF2B5EF4-FFF2-40B4-BE49-F238E27FC236}">
              <a16:creationId xmlns:a16="http://schemas.microsoft.com/office/drawing/2014/main" id="{6E8B8A6D-DBEC-6892-2326-0C9EC13156C5}"/>
            </a:ext>
          </a:extLst>
        </xdr:cNvPr>
        <xdr:cNvPicPr>
          <a:picLocks noChangeAspect="1"/>
        </xdr:cNvPicPr>
      </xdr:nvPicPr>
      <xdr:blipFill>
        <a:blip xmlns:r="http://schemas.openxmlformats.org/officeDocument/2006/relationships" r:embed="rId4"/>
        <a:stretch>
          <a:fillRect/>
        </a:stretch>
      </xdr:blipFill>
      <xdr:spPr>
        <a:xfrm>
          <a:off x="677333" y="11142133"/>
          <a:ext cx="7864522" cy="2737341"/>
        </a:xfrm>
        <a:prstGeom prst="rect">
          <a:avLst/>
        </a:prstGeom>
      </xdr:spPr>
    </xdr:pic>
    <xdr:clientData/>
  </xdr:twoCellAnchor>
  <xdr:twoCellAnchor editAs="oneCell">
    <xdr:from>
      <xdr:col>1</xdr:col>
      <xdr:colOff>0</xdr:colOff>
      <xdr:row>71</xdr:row>
      <xdr:rowOff>0</xdr:rowOff>
    </xdr:from>
    <xdr:to>
      <xdr:col>7</xdr:col>
      <xdr:colOff>729491</xdr:colOff>
      <xdr:row>84</xdr:row>
      <xdr:rowOff>150774</xdr:rowOff>
    </xdr:to>
    <xdr:pic>
      <xdr:nvPicPr>
        <xdr:cNvPr id="9" name="Picture 8">
          <a:extLst>
            <a:ext uri="{FF2B5EF4-FFF2-40B4-BE49-F238E27FC236}">
              <a16:creationId xmlns:a16="http://schemas.microsoft.com/office/drawing/2014/main" id="{0E15E53D-2388-FA0F-1AE3-D1351A36124C}"/>
            </a:ext>
          </a:extLst>
        </xdr:cNvPr>
        <xdr:cNvPicPr>
          <a:picLocks noChangeAspect="1"/>
        </xdr:cNvPicPr>
      </xdr:nvPicPr>
      <xdr:blipFill>
        <a:blip xmlns:r="http://schemas.openxmlformats.org/officeDocument/2006/relationships" r:embed="rId5"/>
        <a:stretch>
          <a:fillRect/>
        </a:stretch>
      </xdr:blipFill>
      <xdr:spPr>
        <a:xfrm>
          <a:off x="677333" y="14126633"/>
          <a:ext cx="7858425" cy="2737341"/>
        </a:xfrm>
        <a:prstGeom prst="rect">
          <a:avLst/>
        </a:prstGeom>
      </xdr:spPr>
    </xdr:pic>
    <xdr:clientData/>
  </xdr:twoCellAnchor>
  <xdr:twoCellAnchor editAs="oneCell">
    <xdr:from>
      <xdr:col>1</xdr:col>
      <xdr:colOff>0</xdr:colOff>
      <xdr:row>86</xdr:row>
      <xdr:rowOff>0</xdr:rowOff>
    </xdr:from>
    <xdr:to>
      <xdr:col>7</xdr:col>
      <xdr:colOff>735588</xdr:colOff>
      <xdr:row>99</xdr:row>
      <xdr:rowOff>150774</xdr:rowOff>
    </xdr:to>
    <xdr:pic>
      <xdr:nvPicPr>
        <xdr:cNvPr id="10" name="Picture 9">
          <a:extLst>
            <a:ext uri="{FF2B5EF4-FFF2-40B4-BE49-F238E27FC236}">
              <a16:creationId xmlns:a16="http://schemas.microsoft.com/office/drawing/2014/main" id="{E2E60D3F-CE18-0042-9AE6-6C4D75212B86}"/>
            </a:ext>
          </a:extLst>
        </xdr:cNvPr>
        <xdr:cNvPicPr>
          <a:picLocks noChangeAspect="1"/>
        </xdr:cNvPicPr>
      </xdr:nvPicPr>
      <xdr:blipFill>
        <a:blip xmlns:r="http://schemas.openxmlformats.org/officeDocument/2006/relationships" r:embed="rId6"/>
        <a:stretch>
          <a:fillRect/>
        </a:stretch>
      </xdr:blipFill>
      <xdr:spPr>
        <a:xfrm>
          <a:off x="677333" y="17111133"/>
          <a:ext cx="7864522" cy="2737341"/>
        </a:xfrm>
        <a:prstGeom prst="rect">
          <a:avLst/>
        </a:prstGeom>
      </xdr:spPr>
    </xdr:pic>
    <xdr:clientData/>
  </xdr:twoCellAnchor>
  <xdr:twoCellAnchor editAs="oneCell">
    <xdr:from>
      <xdr:col>1</xdr:col>
      <xdr:colOff>0</xdr:colOff>
      <xdr:row>101</xdr:row>
      <xdr:rowOff>0</xdr:rowOff>
    </xdr:from>
    <xdr:to>
      <xdr:col>7</xdr:col>
      <xdr:colOff>729491</xdr:colOff>
      <xdr:row>114</xdr:row>
      <xdr:rowOff>150774</xdr:rowOff>
    </xdr:to>
    <xdr:pic>
      <xdr:nvPicPr>
        <xdr:cNvPr id="12" name="Picture 11">
          <a:extLst>
            <a:ext uri="{FF2B5EF4-FFF2-40B4-BE49-F238E27FC236}">
              <a16:creationId xmlns:a16="http://schemas.microsoft.com/office/drawing/2014/main" id="{AC8C17CB-B6BB-0B5A-BB72-E78E86CE83CE}"/>
            </a:ext>
          </a:extLst>
        </xdr:cNvPr>
        <xdr:cNvPicPr>
          <a:picLocks noChangeAspect="1"/>
        </xdr:cNvPicPr>
      </xdr:nvPicPr>
      <xdr:blipFill>
        <a:blip xmlns:r="http://schemas.openxmlformats.org/officeDocument/2006/relationships" r:embed="rId7"/>
        <a:stretch>
          <a:fillRect/>
        </a:stretch>
      </xdr:blipFill>
      <xdr:spPr>
        <a:xfrm>
          <a:off x="677333" y="20095633"/>
          <a:ext cx="7858425" cy="2737341"/>
        </a:xfrm>
        <a:prstGeom prst="rect">
          <a:avLst/>
        </a:prstGeom>
      </xdr:spPr>
    </xdr:pic>
    <xdr:clientData/>
  </xdr:twoCellAnchor>
  <xdr:twoCellAnchor editAs="oneCell">
    <xdr:from>
      <xdr:col>1</xdr:col>
      <xdr:colOff>0</xdr:colOff>
      <xdr:row>116</xdr:row>
      <xdr:rowOff>0</xdr:rowOff>
    </xdr:from>
    <xdr:to>
      <xdr:col>7</xdr:col>
      <xdr:colOff>729491</xdr:colOff>
      <xdr:row>129</xdr:row>
      <xdr:rowOff>150774</xdr:rowOff>
    </xdr:to>
    <xdr:pic>
      <xdr:nvPicPr>
        <xdr:cNvPr id="15" name="Picture 14">
          <a:extLst>
            <a:ext uri="{FF2B5EF4-FFF2-40B4-BE49-F238E27FC236}">
              <a16:creationId xmlns:a16="http://schemas.microsoft.com/office/drawing/2014/main" id="{6435D624-F44B-FA04-44FE-925A4B7221E1}"/>
            </a:ext>
          </a:extLst>
        </xdr:cNvPr>
        <xdr:cNvPicPr>
          <a:picLocks noChangeAspect="1"/>
        </xdr:cNvPicPr>
      </xdr:nvPicPr>
      <xdr:blipFill>
        <a:blip xmlns:r="http://schemas.openxmlformats.org/officeDocument/2006/relationships" r:embed="rId8"/>
        <a:stretch>
          <a:fillRect/>
        </a:stretch>
      </xdr:blipFill>
      <xdr:spPr>
        <a:xfrm>
          <a:off x="677333" y="23080133"/>
          <a:ext cx="7858425" cy="273734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ijs Scheepmaker" refreshedDate="46109.956225231479" createdVersion="8" refreshedVersion="8" minRefreshableVersion="3" recordCount="14" xr:uid="{142380DB-91B6-442A-BE24-6701ABC88D94}">
  <cacheSource type="worksheet">
    <worksheetSource ref="B2:J16" sheet="Grafieken"/>
  </cacheSource>
  <cacheFields count="9">
    <cacheField name="TYPE" numFmtId="0">
      <sharedItems count="7">
        <s v="a"/>
        <s v="b"/>
        <s v="c"/>
        <s v="d"/>
        <s v="e"/>
        <s v="f"/>
        <s v="tot"/>
      </sharedItems>
    </cacheField>
    <cacheField name="KRANT" numFmtId="0">
      <sharedItems count="2">
        <s v="Volkskrant"/>
        <s v="Telegraaf"/>
      </sharedItems>
    </cacheField>
    <cacheField name="1. EPI_VS_THE" numFmtId="9">
      <sharedItems containsSemiMixedTypes="0" containsString="0" containsNumber="1" minValue="0" maxValue="1" count="8">
        <n v="0.3"/>
        <n v="0.55000000000000004"/>
        <n v="0.15"/>
        <n v="0"/>
        <n v="1"/>
        <n v="0.45454545454545453"/>
        <n v="0.24242424242424243"/>
        <n v="0.30303030303030304"/>
      </sharedItems>
    </cacheField>
    <cacheField name="2. VICTIM_BLA" numFmtId="9">
      <sharedItems containsSemiMixedTypes="0" containsString="0" containsNumber="1" containsInteger="1" minValue="0" maxValue="1"/>
    </cacheField>
    <cacheField name="3. OTHERNESS" numFmtId="9">
      <sharedItems containsSemiMixedTypes="0" containsString="0" containsNumber="1" minValue="0" maxValue="0.81818181818181823"/>
    </cacheField>
    <cacheField name="4. HUMAN_INT" numFmtId="9">
      <sharedItems containsSemiMixedTypes="0" containsString="0" containsNumber="1" minValue="0" maxValue="1"/>
    </cacheField>
    <cacheField name="5. EUFEMISME" numFmtId="9">
      <sharedItems containsSemiMixedTypes="0" containsString="0" containsNumber="1" minValue="0" maxValue="1"/>
    </cacheField>
    <cacheField name="6. VERANT" numFmtId="9">
      <sharedItems containsSemiMixedTypes="0" containsString="0" containsNumber="1" minValue="0" maxValue="0.85"/>
    </cacheField>
    <cacheField name="7. DOM_FRA"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x v="0"/>
    <x v="0"/>
    <x v="0"/>
    <n v="0"/>
    <n v="0.25"/>
    <n v="0.65"/>
    <n v="0"/>
    <n v="0"/>
    <n v="0.2"/>
  </r>
  <r>
    <x v="1"/>
    <x v="0"/>
    <x v="1"/>
    <n v="0"/>
    <n v="0"/>
    <n v="0.1"/>
    <n v="0.45"/>
    <n v="0.4"/>
    <n v="0.45"/>
  </r>
  <r>
    <x v="2"/>
    <x v="0"/>
    <x v="2"/>
    <n v="1"/>
    <n v="0.15"/>
    <n v="0.25"/>
    <n v="0.55000000000000004"/>
    <n v="0.25"/>
    <n v="0"/>
  </r>
  <r>
    <x v="3"/>
    <x v="0"/>
    <x v="3"/>
    <n v="0"/>
    <n v="0.3"/>
    <n v="0"/>
    <n v="0"/>
    <n v="0.2"/>
    <n v="0.05"/>
  </r>
  <r>
    <x v="4"/>
    <x v="0"/>
    <x v="3"/>
    <n v="0"/>
    <n v="0"/>
    <n v="0"/>
    <n v="0"/>
    <n v="0"/>
    <n v="0.25"/>
  </r>
  <r>
    <x v="5"/>
    <x v="0"/>
    <x v="3"/>
    <n v="0"/>
    <n v="0"/>
    <n v="0"/>
    <n v="0"/>
    <n v="0"/>
    <n v="0.05"/>
  </r>
  <r>
    <x v="6"/>
    <x v="0"/>
    <x v="4"/>
    <n v="1"/>
    <n v="0.7"/>
    <n v="1"/>
    <n v="1"/>
    <n v="0.85"/>
    <n v="1"/>
  </r>
  <r>
    <x v="0"/>
    <x v="1"/>
    <x v="5"/>
    <n v="0"/>
    <n v="0.30303030303030304"/>
    <n v="0.54545454545454541"/>
    <n v="0"/>
    <n v="0"/>
    <n v="0.33333333333333331"/>
  </r>
  <r>
    <x v="1"/>
    <x v="1"/>
    <x v="6"/>
    <n v="0"/>
    <n v="3.0303030303030304E-2"/>
    <n v="0.30303030303030304"/>
    <n v="0.15151515151515152"/>
    <n v="0.24242424242424243"/>
    <n v="0.21212121212121213"/>
  </r>
  <r>
    <x v="2"/>
    <x v="1"/>
    <x v="7"/>
    <n v="1"/>
    <n v="3.0303030303030304E-2"/>
    <n v="0.15151515151515152"/>
    <n v="0.84848484848484851"/>
    <n v="0.18181818181818182"/>
    <n v="0"/>
  </r>
  <r>
    <x v="3"/>
    <x v="1"/>
    <x v="3"/>
    <n v="0"/>
    <n v="0.45454545454545453"/>
    <n v="0"/>
    <n v="0"/>
    <n v="0.18181818181818182"/>
    <n v="0.21212121212121213"/>
  </r>
  <r>
    <x v="4"/>
    <x v="1"/>
    <x v="3"/>
    <n v="0"/>
    <n v="0"/>
    <n v="0"/>
    <n v="0"/>
    <n v="0"/>
    <n v="0.15151515151515152"/>
  </r>
  <r>
    <x v="5"/>
    <x v="1"/>
    <x v="3"/>
    <n v="0"/>
    <n v="0"/>
    <n v="0"/>
    <n v="0"/>
    <n v="0"/>
    <n v="9.0909090909090912E-2"/>
  </r>
  <r>
    <x v="6"/>
    <x v="1"/>
    <x v="4"/>
    <n v="1"/>
    <n v="0.81818181818181823"/>
    <n v="1"/>
    <n v="1"/>
    <n v="0.60606060606060608"/>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C139CB-0B0A-44F4-8267-C09943090929}" name="PivotTable1"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58">
  <location ref="B18:D25" firstHeaderRow="1" firstDataRow="2" firstDataCol="1"/>
  <pivotFields count="9">
    <pivotField axis="axisRow" showAll="0">
      <items count="8">
        <item x="0"/>
        <item x="1"/>
        <item x="2"/>
        <item x="3"/>
        <item x="4"/>
        <item x="5"/>
        <item h="1" x="6"/>
        <item t="default"/>
      </items>
    </pivotField>
    <pivotField axis="axisCol" showAll="0">
      <items count="3">
        <item x="1"/>
        <item x="0"/>
        <item t="default"/>
      </items>
    </pivotField>
    <pivotField numFmtId="9" showAll="0">
      <items count="9">
        <item x="3"/>
        <item x="2"/>
        <item x="6"/>
        <item x="0"/>
        <item x="7"/>
        <item x="5"/>
        <item x="1"/>
        <item x="4"/>
        <item t="default"/>
      </items>
    </pivotField>
    <pivotField numFmtId="9" showAll="0"/>
    <pivotField numFmtId="9" showAll="0"/>
    <pivotField numFmtId="9" showAll="0"/>
    <pivotField numFmtId="9" showAll="0"/>
    <pivotField numFmtId="9" showAll="0"/>
    <pivotField dataField="1" numFmtId="9" showAll="0"/>
  </pivotFields>
  <rowFields count="1">
    <field x="0"/>
  </rowFields>
  <rowItems count="6">
    <i>
      <x/>
    </i>
    <i>
      <x v="1"/>
    </i>
    <i>
      <x v="2"/>
    </i>
    <i>
      <x v="3"/>
    </i>
    <i>
      <x v="4"/>
    </i>
    <i>
      <x v="5"/>
    </i>
  </rowItems>
  <colFields count="1">
    <field x="1"/>
  </colFields>
  <colItems count="2">
    <i>
      <x/>
    </i>
    <i>
      <x v="1"/>
    </i>
  </colItems>
  <dataFields count="1">
    <dataField name="Sum of 7. DOM_FRA" fld="8" baseField="0" baseItem="0" numFmtId="9"/>
  </dataFields>
  <chartFormats count="12">
    <chartFormat chart="10" format="7" series="1">
      <pivotArea type="data" outline="0" fieldPosition="0">
        <references count="1">
          <reference field="1" count="1" selected="0">
            <x v="0"/>
          </reference>
        </references>
      </pivotArea>
    </chartFormat>
    <chartFormat chart="10" format="8" series="1">
      <pivotArea type="data" outline="0" fieldPosition="0">
        <references count="1">
          <reference field="1" count="1" selected="0">
            <x v="1"/>
          </reference>
        </references>
      </pivotArea>
    </chartFormat>
    <chartFormat chart="0" format="3" series="1">
      <pivotArea type="data" outline="0" fieldPosition="0">
        <references count="1">
          <reference field="1" count="1" selected="0">
            <x v="0"/>
          </reference>
        </references>
      </pivotArea>
    </chartFormat>
    <chartFormat chart="0" format="4" series="1">
      <pivotArea type="data" outline="0" fieldPosition="0">
        <references count="1">
          <reference field="1" count="1" selected="0">
            <x v="1"/>
          </reference>
        </references>
      </pivotArea>
    </chartFormat>
    <chartFormat chart="25" format="9" series="1">
      <pivotArea type="data" outline="0" fieldPosition="0">
        <references count="1">
          <reference field="1" count="1" selected="0">
            <x v="0"/>
          </reference>
        </references>
      </pivotArea>
    </chartFormat>
    <chartFormat chart="25" format="10" series="1">
      <pivotArea type="data" outline="0" fieldPosition="0">
        <references count="1">
          <reference field="1" count="1" selected="0">
            <x v="1"/>
          </reference>
        </references>
      </pivotArea>
    </chartFormat>
    <chartFormat chart="56" format="13" series="1">
      <pivotArea type="data" outline="0" fieldPosition="0">
        <references count="2">
          <reference field="4294967294" count="1" selected="0">
            <x v="0"/>
          </reference>
          <reference field="1" count="1" selected="0">
            <x v="0"/>
          </reference>
        </references>
      </pivotArea>
    </chartFormat>
    <chartFormat chart="56" format="14" series="1">
      <pivotArea type="data" outline="0" fieldPosition="0">
        <references count="2">
          <reference field="4294967294" count="1" selected="0">
            <x v="0"/>
          </reference>
          <reference field="1" count="1" selected="0">
            <x v="1"/>
          </reference>
        </references>
      </pivotArea>
    </chartFormat>
    <chartFormat chart="57" format="15" series="1">
      <pivotArea type="data" outline="0" fieldPosition="0">
        <references count="2">
          <reference field="4294967294" count="1" selected="0">
            <x v="0"/>
          </reference>
          <reference field="1" count="1" selected="0">
            <x v="0"/>
          </reference>
        </references>
      </pivotArea>
    </chartFormat>
    <chartFormat chart="57" format="16" series="1">
      <pivotArea type="data" outline="0" fieldPosition="0">
        <references count="2">
          <reference field="4294967294" count="1" selected="0">
            <x v="0"/>
          </reference>
          <reference field="1" count="1" selected="0">
            <x v="1"/>
          </reference>
        </references>
      </pivotArea>
    </chartFormat>
    <chartFormat chart="0" format="13" series="1">
      <pivotArea type="data" outline="0" fieldPosition="0">
        <references count="2">
          <reference field="4294967294" count="1" selected="0">
            <x v="0"/>
          </reference>
          <reference field="1" count="1" selected="0">
            <x v="0"/>
          </reference>
        </references>
      </pivotArea>
    </chartFormat>
    <chartFormat chart="0" format="14" series="1">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757330-823E-F940-A84E-81DB0036BDFB}" name="Tabel1" displayName="Tabel1" ref="A2:J22" totalsRowShown="0" dataDxfId="21">
  <autoFilter ref="A2:J22" xr:uid="{98757330-823E-F940-A84E-81DB0036BDFB}"/>
  <sortState xmlns:xlrd2="http://schemas.microsoft.com/office/spreadsheetml/2017/richdata2" ref="A3:J22">
    <sortCondition ref="A2:A22"/>
  </sortState>
  <tableColumns count="10">
    <tableColumn id="1" xr3:uid="{E69B991B-ED61-7046-B754-AA4C9392EEE6}" name="DATUM" dataDxfId="20"/>
    <tableColumn id="2" xr3:uid="{8492CD4F-8E0D-8247-A2C2-DA8BC27C1625}" name="TITEL" dataDxfId="19"/>
    <tableColumn id="3" xr3:uid="{32684BBE-0BA6-7245-82D9-1640601D0FAD}" name="EPI_VS_THE" dataDxfId="18"/>
    <tableColumn id="4" xr3:uid="{AC228B8C-8C20-A74C-9C87-5F55B1F30FDF}" name="VICTIM_BLA" dataDxfId="17"/>
    <tableColumn id="9" xr3:uid="{A5649FF5-5A8B-624E-BC48-9FE35B186D33}" name="OTHERNESS" dataDxfId="16"/>
    <tableColumn id="5" xr3:uid="{541191CD-626B-FC46-8F72-124B70A72D00}" name="HUMAN_INT" dataDxfId="15"/>
    <tableColumn id="11" xr3:uid="{EB528BB5-7088-FC4C-BA60-9B892398DCF9}" name="EUFEMISME" dataDxfId="14"/>
    <tableColumn id="6" xr3:uid="{7B373AEC-B0AB-194E-85D8-D1EBE9AE6409}" name="VERANT" dataDxfId="13"/>
    <tableColumn id="7" xr3:uid="{9F3A16FE-FC10-4E4B-8B0B-F181FCD8C9F7}" name="DOM_FRA" dataDxfId="12"/>
    <tableColumn id="8" xr3:uid="{F41A3D86-BF22-9240-AC1D-FD88D1B4E67F}" name="LINK" dataDxfId="11"/>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95E366-064D-FF46-B322-AB679AC4DDAF}" name="Tabel13" displayName="Tabel13" ref="A2:J35" totalsRowShown="0" dataDxfId="10">
  <autoFilter ref="A2:J35" xr:uid="{F095E366-064D-FF46-B322-AB679AC4DDAF}"/>
  <sortState xmlns:xlrd2="http://schemas.microsoft.com/office/spreadsheetml/2017/richdata2" ref="A3:J35">
    <sortCondition ref="A2:A35"/>
  </sortState>
  <tableColumns count="10">
    <tableColumn id="1" xr3:uid="{7ED4A5B0-2240-F847-8021-5B7F9EF1ECF2}" name="DATUM" dataDxfId="9"/>
    <tableColumn id="2" xr3:uid="{3D8B3FA1-B345-0946-88B3-9CB780C7F8DF}" name="TITEL" dataDxfId="8"/>
    <tableColumn id="3" xr3:uid="{38ED863C-FE2E-CB4D-A470-DA63928F6FB8}" name="EPI_VS_THE" dataDxfId="7"/>
    <tableColumn id="4" xr3:uid="{B1B0AF1E-A58E-0543-B27E-44BBBE53AEE7}" name="VICTIM_BLA" dataDxfId="6"/>
    <tableColumn id="9" xr3:uid="{FE65624B-F04E-3149-B26A-732FE18ABAB8}" name="OTHERNESS" dataDxfId="5"/>
    <tableColumn id="5" xr3:uid="{8E0F521A-B699-6549-9F13-6DF79E59F119}" name="HUMAN_INT" dataDxfId="4"/>
    <tableColumn id="11" xr3:uid="{EC7C7327-EB2E-D543-89D9-0D44B0C098DD}" name="EUFEMISME" dataDxfId="3"/>
    <tableColumn id="6" xr3:uid="{969C689F-3651-A342-B325-AA9DC68A2E22}" name="VERANT" dataDxfId="2"/>
    <tableColumn id="7" xr3:uid="{53CBA4E2-F67B-4F4F-8DC8-BA3B986EDB04}" name="DOM_FRA" dataDxfId="1"/>
    <tableColumn id="8" xr3:uid="{BBBE3C58-9AE2-D94E-9BBB-030BA8B5B382}" name="LINK"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volkskrant.nl/binnenland/de-enge-man-in-de-bosjes-is-geen-gewone-man~b756e512/" TargetMode="External"/><Relationship Id="rId13" Type="http://schemas.openxmlformats.org/officeDocument/2006/relationships/hyperlink" Target="https://www.volkskrant.nl/binnenland/kamer-pleit-voor-een-nationaal-coordinator-femicide-na-oplaaiend-geweld-tegen-vrouwen~ba179702/" TargetMode="External"/><Relationship Id="rId18" Type="http://schemas.openxmlformats.org/officeDocument/2006/relationships/hyperlink" Target="https://www.volkskrant.nl/binnenland/meer-zedenzaken-gemeld-in-amsterdam-door-nieuwe-wet-en-grotere-meldingsbereidheid~b32dfa83/" TargetMode="External"/><Relationship Id="rId3" Type="http://schemas.openxmlformats.org/officeDocument/2006/relationships/hyperlink" Target="https://www.volkskrant.nl/binnenland/identiteit-verdachte-moord-lisa-nog-niet-duidelijk-door-ontbreken-papieren-nigeria-om-hulp-gevraagd~ba59742d/" TargetMode="External"/><Relationship Id="rId7" Type="http://schemas.openxmlformats.org/officeDocument/2006/relationships/hyperlink" Target="https://www.volkskrant.nl/binnenland/in-hele-land-borden-met-wij-eisen-de-nacht-op-inzameling-levert-bijna-4-ton-op~b9417a0d/" TargetMode="External"/><Relationship Id="rId12" Type="http://schemas.openxmlformats.org/officeDocument/2006/relationships/hyperlink" Target="https://www.volkskrant.nl/binnenland/zondebokpolitiek-overschreeuwt-het-protest-tegen-seksisme-ze-misbruiken-geweld-tegen-vrouwen-om-haat-aan-te-wakkeren~bc02290b/" TargetMode="External"/><Relationship Id="rId17" Type="http://schemas.openxmlformats.org/officeDocument/2006/relationships/hyperlink" Target="https://www.volkskrant.nl/binnenland/verdachte-heeft-rechter-niets-te-zeggen-over-de-dood-van-lisa-17-hij-weet-vaak-achteraf-niet-wat-hij-heeft-gedaan~b142e5b6/" TargetMode="External"/><Relationship Id="rId2" Type="http://schemas.openxmlformats.org/officeDocument/2006/relationships/hyperlink" Target="https://www.volkskrant.nl/binnenland/verdachte-zedendelict-weesperzijde-ook-verdacht-van-dood-van-17-jarige-lisa-en-eerdere-poging-tot-verkrachting~b7ed1838/" TargetMode="External"/><Relationship Id="rId16" Type="http://schemas.openxmlformats.org/officeDocument/2006/relationships/hyperlink" Target="https://www.volkskrant.nl/nieuws-achtergrond/om-camerabeelden-en-dna-sporen-linken-verdachte-chris-jude-aan-moord-op-lisa~bcf7582b/" TargetMode="External"/><Relationship Id="rId20" Type="http://schemas.openxmlformats.org/officeDocument/2006/relationships/table" Target="../tables/table1.xml"/><Relationship Id="rId1" Type="http://schemas.openxmlformats.org/officeDocument/2006/relationships/hyperlink" Target="https://www.volkskrant.nl/binnenland/lisa-17-belde-zelf-nog-de-politie-voor-haar-gewelddadige-dood-in-duivendrecht~b6d55922/" TargetMode="External"/><Relationship Id="rId6" Type="http://schemas.openxmlformats.org/officeDocument/2006/relationships/hyperlink" Target="https://www.volkskrant.nl/binnenland/de-enge-man-in-de-bosjes-is-misschien-zeldzaam-maar-vrouwen-zijn-niet-voor-niets-bang-op-straat~b0cebede/" TargetMode="External"/><Relationship Id="rId11" Type="http://schemas.openxmlformats.org/officeDocument/2006/relationships/hyperlink" Target="https://www.volkskrant.nl/politiek/kabinet-onderzoekt-toestaan-pepperspray-als-verdedigingswapen~b0fb3ec9/" TargetMode="External"/><Relationship Id="rId5" Type="http://schemas.openxmlformats.org/officeDocument/2006/relationships/hyperlink" Target="https://www.volkskrant.nl/binnenland/drie-ernstige-geweldsincidenten-tegen-vrouwen-in-een-week-hoe-groot-is-het-risico~bf1f5fa0/" TargetMode="External"/><Relationship Id="rId15" Type="http://schemas.openxmlformats.org/officeDocument/2006/relationships/hyperlink" Target="https://www.volkskrant.nl/nieuws-achtergrond/staat-onzekerheid-over-identiteit-verdachte-in-zaak-lisa-een-veroordeling-in-de-weg~b89f4946/" TargetMode="External"/><Relationship Id="rId10" Type="http://schemas.openxmlformats.org/officeDocument/2006/relationships/hyperlink" Target="https://www.volkskrant.nl/binnenland/amsterdam-trekt-6-miljoen-extra-uit-om-vrouwen-beter-te-beschermen-tegen-geweld~b4f9282d/" TargetMode="External"/><Relationship Id="rId19" Type="http://schemas.openxmlformats.org/officeDocument/2006/relationships/hyperlink" Target="https://www.volkskrant.nl/binnenland/om-verdachte-bekent-moord-op-17-jarige-lisa-en-eerdere-zedenmisdrijven~b23929ec/" TargetMode="External"/><Relationship Id="rId4" Type="http://schemas.openxmlformats.org/officeDocument/2006/relationships/hyperlink" Target="https://www.volkskrant.nl/nieuws-achtergrond/man-22-aangehouden-voor-zedendelict-in-amsterdam-verband-met-dood-lisa-17-onduidelijk~b0063e49/" TargetMode="External"/><Relationship Id="rId9" Type="http://schemas.openxmlformats.org/officeDocument/2006/relationships/hyperlink" Target="https://www.volkskrant.nl/binnenland/politie-vist-met-magneten-naar-bewijsmateriaal-in-moordzaak-lisa-onder-toeziend-oog-honderden-passanten~b4d23820/" TargetMode="External"/><Relationship Id="rId14" Type="http://schemas.openxmlformats.org/officeDocument/2006/relationships/hyperlink" Target="https://www.volkskrant.nl/binnenland/zo-on-veilig-is-de-straat-s-nachts-voor-vrouwen-als-je-deze-brug-overgaat-fiets-je-zo-een-zwart-gat-in~b3d837e8/"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telegraaf.nl/binnenland/om-verdachte-moord-op-lisa-17-komt-mogelijk-uit-nigeria-identiteit-nog-niet-met-zekerheid-vastgesteld/87377808.html" TargetMode="External"/><Relationship Id="rId18" Type="http://schemas.openxmlformats.org/officeDocument/2006/relationships/hyperlink" Target="https://www.telegraaf.nl/binnenland/aangehouden-asielzoeker-22-in-moordzaak-lisa-17-vermoedelijk-ook-betrokken-bij-derde-incident/85376372.html" TargetMode="External"/><Relationship Id="rId26" Type="http://schemas.openxmlformats.org/officeDocument/2006/relationships/hyperlink" Target="https://www.telegraaf.nl/binnenland/fietspad-waar-lisa-is-vermoord-is-volgens-bewoners-nog-steeds-onveilig-als-het-donker-is-pak-ik-een-taxi/104402536.html" TargetMode="External"/><Relationship Id="rId3" Type="http://schemas.openxmlformats.org/officeDocument/2006/relationships/hyperlink" Target="https://www.telegraaf.nl/misdaad/politie-geeft-beelden-vrij-van-getuigen-in-koortsachtige-klopjacht-op-dader-gruwelmoord-lisa-17-uit-abcoude/85146896.html" TargetMode="External"/><Relationship Id="rId21" Type="http://schemas.openxmlformats.org/officeDocument/2006/relationships/hyperlink" Target="https://www.telegraaf.nl/binnenland/ouders-vermoorde-lisa-17-uit-abcoude-onze-harten-zijn-gebroken/85080188.html" TargetMode="External"/><Relationship Id="rId34" Type="http://schemas.openxmlformats.org/officeDocument/2006/relationships/table" Target="../tables/table2.xml"/><Relationship Id="rId7" Type="http://schemas.openxmlformats.org/officeDocument/2006/relationships/hyperlink" Target="https://www.telegraaf.nl/binnenland/vermoorde-lisa-17-staat-symbool-voor-de-angst-van-veel-vrouwen-de-nacht-is-ook-van-ons/85293393.html" TargetMode="External"/><Relationship Id="rId12" Type="http://schemas.openxmlformats.org/officeDocument/2006/relationships/hyperlink" Target="https://www.telegraaf.nl/binnenland/verdachte-moord-lisa-17-eind-november-voor-de-rechter-beperkingen-opgeheven/91441898.html" TargetMode="External"/><Relationship Id="rId17" Type="http://schemas.openxmlformats.org/officeDocument/2006/relationships/hyperlink" Target="https://www.telegraaf.nl/binnenland/vrijdag-is-afscheid-genomen-van-omgebrachte-lisa-uit-abcoude/86961525.html" TargetMode="External"/><Relationship Id="rId25" Type="http://schemas.openxmlformats.org/officeDocument/2006/relationships/hyperlink" Target="https://www.telegraaf.nl/misdaad/door-ernstig-geweld-omgebracht-lisa-17-uit-abcoude-werd-aangevallen-op-ongure-plek-terwijl-ze-naar-huis-fietste-politie-sluit-verband-met-eerder-misdrijf-niet-uit/84764248.html" TargetMode="External"/><Relationship Id="rId33" Type="http://schemas.openxmlformats.org/officeDocument/2006/relationships/hyperlink" Target="https://www.telegraaf.nl/binnenland/chris-jude-bekent-moord-op-lisa-maar-wat-gebeurt-er-eigenlijk-met-een-criminele-asielzoeker-celstraffen-moeten-eerst-worden-uitgezeten/131315426.html" TargetMode="External"/><Relationship Id="rId2" Type="http://schemas.openxmlformats.org/officeDocument/2006/relationships/hyperlink" Target="https://www.telegraaf.nl/binnenland/fietsende-vrouw-werd-belaagd-en-achtervolgd-op-zelfde-plek-waar-lisa-17-is-vermoord-ik-tril-nog-steeds-van-angst/84964896.html" TargetMode="External"/><Relationship Id="rId16" Type="http://schemas.openxmlformats.org/officeDocument/2006/relationships/hyperlink" Target="https://www.telegraaf.nl/binnenland/familie-van-lisa-17-aanwezig-tijdens-minuut-stilte-op-feestweek-abcoude-ze-zijn-diep-geraakt/86123634.html" TargetMode="External"/><Relationship Id="rId20" Type="http://schemas.openxmlformats.org/officeDocument/2006/relationships/hyperlink" Target="https://www.telegraaf.nl/binnenland/de-nacht-is-ook-van-ons-dolle-mina-organiseert-landelijke-protestfietstochten-tegen-onveiligheid/86718513.html" TargetMode="External"/><Relationship Id="rId29" Type="http://schemas.openxmlformats.org/officeDocument/2006/relationships/hyperlink" Target="https://www.telegraaf.nl/binnenland/verdachte-moord-lisa-17-uit-abcoude-voor-de-rechter-maar-identiteit-is-nog-steeds-onzeker-deze-gevolgen-heeft-dat-voor-zijn-mogelijke-straf-en-uitzetting/107151534.html" TargetMode="External"/><Relationship Id="rId1" Type="http://schemas.openxmlformats.org/officeDocument/2006/relationships/hyperlink" Target="https://www.telegraaf.nl/binnenland/wie-is-de-verdachte-van-lisa-s-dood-identiteit-nog-steeds-onbekend/86735878.html" TargetMode="External"/><Relationship Id="rId6" Type="http://schemas.openxmlformats.org/officeDocument/2006/relationships/hyperlink" Target="https://www.telegraaf.nl/binnenland/raadsels-rond-verdachte-moord-lisa-17-identiteit-niet-honderd-procent-vastgesteld/85782501.html" TargetMode="External"/><Relationship Id="rId11" Type="http://schemas.openxmlformats.org/officeDocument/2006/relationships/hyperlink" Target="https://www.telegraaf.nl/binnenland/femke-halsema-kondigt-pakket-maatregelen-aan-na-moord-op-17-jarige-lisa/89217281.html" TargetMode="External"/><Relationship Id="rId24" Type="http://schemas.openxmlformats.org/officeDocument/2006/relationships/hyperlink" Target="https://www.telegraaf.nl/binnenland/identiteit-verdachte-asielzoeker-in-moordzaak-lisa-17-mysterie-ondanks-screening-hoe-kan-dat/86811567.html" TargetMode="External"/><Relationship Id="rId32" Type="http://schemas.openxmlformats.org/officeDocument/2006/relationships/hyperlink" Target="https://www.telegraaf.nl/binnenland/verdachte-chris-jude-bekent-moord-op-lisa-17-en-andere-verdenkingen/131018970.html" TargetMode="External"/><Relationship Id="rId5" Type="http://schemas.openxmlformats.org/officeDocument/2006/relationships/hyperlink" Target="https://www.telegraaf.nl/misdaad/per-direct-cameratoezicht-in-gebied-in-duivendrecht-waar-lisa-17-uit-abcoude-met-geweld-is-omgebracht-politie-zoekt-dringend-getuigen/84945287.html" TargetMode="External"/><Relationship Id="rId15" Type="http://schemas.openxmlformats.org/officeDocument/2006/relationships/hyperlink" Target="https://www.telegraaf.nl/binnenland/meisje-17-dood-gevonden-in-amsterdam-slachtoffer-door-misdrijf-om-het-leven-gekomen/84761022.html" TargetMode="External"/><Relationship Id="rId23" Type="http://schemas.openxmlformats.org/officeDocument/2006/relationships/hyperlink" Target="https://www.telegraaf.nl/nieuws/politie-vindt-mes-in-water-bij-coa-locatie-waar-verdachte-van-doden-lisa-17-verbleef/86001984.html" TargetMode="External"/><Relationship Id="rId28" Type="http://schemas.openxmlformats.org/officeDocument/2006/relationships/hyperlink" Target="https://www.telegraaf.nl/binnenland/twijfel-of-nederland-echt-iets-heeft-geleerd-van-gruwelmoord-op-lisa-17-de-weerstand-zit-diep/106989821.html" TargetMode="External"/><Relationship Id="rId10" Type="http://schemas.openxmlformats.org/officeDocument/2006/relationships/hyperlink" Target="https://www.telegraaf.nl/binnenland/producten-voor-zelfverdediging-niet-aan-te-slepen-na-moord-op-lisa-17-begrijpelijk-maar-ook-heel-triest/85850605.html" TargetMode="External"/><Relationship Id="rId19" Type="http://schemas.openxmlformats.org/officeDocument/2006/relationships/hyperlink" Target="https://www.telegraaf.nl/binnenland/veel-emoties-bij-nachtelijk-protest-na-moord-op-lisa-17-ineens-had-ik-twee-mannen-achter-me-aan/86442748.html" TargetMode="External"/><Relationship Id="rId31" Type="http://schemas.openxmlformats.org/officeDocument/2006/relationships/hyperlink" Target="https://www.telegraaf.nl/binnenland/bloedspoor-leidt-naar-nieuwe-verdenking-tegen-moordverdachte-lisa-17-om-breidt-aanklacht-uit/128226714.html" TargetMode="External"/><Relationship Id="rId4" Type="http://schemas.openxmlformats.org/officeDocument/2006/relationships/hyperlink" Target="https://www.telegraaf.nl/binnenland/politie-roept-buitenlandse-hulp-in-bij-moordonderzoek-lisa-17-belgische-speurhond-helpt-op-plaats-delict/85302317.html" TargetMode="External"/><Relationship Id="rId9" Type="http://schemas.openxmlformats.org/officeDocument/2006/relationships/hyperlink" Target="https://www.telegraaf.nl/binnenland/vermoorde-lisa-17-uit-abcoude-belde-nog-naar-112-politie-luisterde-live-mee-tijdens-aanval/85114523.html" TargetMode="External"/><Relationship Id="rId14" Type="http://schemas.openxmlformats.org/officeDocument/2006/relationships/hyperlink" Target="https://www.telegraaf.nl/misdaad/nieuw-onderzoek-bij-de-plek-waar-lisa-17-werd-gevonden/87582075.html" TargetMode="External"/><Relationship Id="rId22" Type="http://schemas.openxmlformats.org/officeDocument/2006/relationships/hyperlink" Target="https://www.telegraaf.nl/binnenland/politie-doorzoekt-water-bij-coa-locatie-waar-verdachte-van-doden-17-jarige-lisa-mogelijk-woonde/85985002.html" TargetMode="External"/><Relationship Id="rId27" Type="http://schemas.openxmlformats.org/officeDocument/2006/relationships/hyperlink" Target="https://www.telegraaf.nl/nieuws/nigeriaanse-verdachte-kan-zich-niets-herinneren-van-dood-lisa-nog-steeds-raadsels-rond-identiteit-chris-jude-22/106816030.html" TargetMode="External"/><Relationship Id="rId30" Type="http://schemas.openxmlformats.org/officeDocument/2006/relationships/hyperlink" Target="https://www.telegraaf.nl/binnenland/om-4.07-uur-belde-lisa-17-met-112-om-4.15-uur-werd-ze-dood-gevonden-nee-help-me/107501467.html" TargetMode="External"/><Relationship Id="rId8" Type="http://schemas.openxmlformats.org/officeDocument/2006/relationships/hyperlink" Target="https://www.telegraaf.nl/binnenland/gemeenten-nemen-extra-maatregelen-tegen-onveiligheid-op-straat/89058370.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FD9E-E2AF-E248-87E7-5DB15ED23ECF}">
  <dimension ref="A1:B11"/>
  <sheetViews>
    <sheetView zoomScale="94" zoomScaleNormal="100" workbookViewId="0">
      <selection activeCell="D8" sqref="D8"/>
    </sheetView>
  </sheetViews>
  <sheetFormatPr baseColWidth="10" defaultColWidth="11" defaultRowHeight="16" x14ac:dyDescent="0.2"/>
  <cols>
    <col min="1" max="1" width="24" customWidth="1"/>
    <col min="2" max="2" width="72.83203125" customWidth="1"/>
  </cols>
  <sheetData>
    <row r="1" spans="1:2" ht="27" x14ac:dyDescent="0.35">
      <c r="A1" s="3" t="s">
        <v>0</v>
      </c>
      <c r="B1" s="4"/>
    </row>
    <row r="2" spans="1:2" ht="68" x14ac:dyDescent="0.2">
      <c r="A2" s="6" t="s">
        <v>15</v>
      </c>
      <c r="B2" s="5" t="s">
        <v>17</v>
      </c>
    </row>
    <row r="3" spans="1:2" ht="17" x14ac:dyDescent="0.2">
      <c r="A3" s="6" t="s">
        <v>16</v>
      </c>
      <c r="B3" s="5" t="s">
        <v>24</v>
      </c>
    </row>
    <row r="4" spans="1:2" ht="68" x14ac:dyDescent="0.2">
      <c r="A4" s="6" t="s">
        <v>3</v>
      </c>
      <c r="B4" s="5" t="s">
        <v>25</v>
      </c>
    </row>
    <row r="5" spans="1:2" ht="85" x14ac:dyDescent="0.2">
      <c r="A5" s="6" t="s">
        <v>5</v>
      </c>
      <c r="B5" s="5" t="s">
        <v>29</v>
      </c>
    </row>
    <row r="6" spans="1:2" ht="51" x14ac:dyDescent="0.2">
      <c r="A6" s="6" t="s">
        <v>10</v>
      </c>
      <c r="B6" s="5" t="s">
        <v>26</v>
      </c>
    </row>
    <row r="7" spans="1:2" ht="68" x14ac:dyDescent="0.2">
      <c r="A7" s="6" t="s">
        <v>4</v>
      </c>
      <c r="B7" s="5" t="s">
        <v>27</v>
      </c>
    </row>
    <row r="8" spans="1:2" ht="102" x14ac:dyDescent="0.2">
      <c r="A8" s="6" t="s">
        <v>22</v>
      </c>
      <c r="B8" s="5" t="s">
        <v>30</v>
      </c>
    </row>
    <row r="9" spans="1:2" ht="51" x14ac:dyDescent="0.2">
      <c r="A9" s="6" t="s">
        <v>6</v>
      </c>
      <c r="B9" s="5" t="s">
        <v>18</v>
      </c>
    </row>
    <row r="10" spans="1:2" ht="34" x14ac:dyDescent="0.2">
      <c r="A10" s="6" t="s">
        <v>7</v>
      </c>
      <c r="B10" s="5" t="s">
        <v>19</v>
      </c>
    </row>
    <row r="11" spans="1:2" ht="34" x14ac:dyDescent="0.2">
      <c r="A11" s="6" t="s">
        <v>8</v>
      </c>
      <c r="B11" s="5"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EA108-AF56-D248-B8D2-767B286A355A}">
  <dimension ref="A1:J30"/>
  <sheetViews>
    <sheetView zoomScale="87" zoomScaleNormal="75" workbookViewId="0">
      <selection activeCell="C1" sqref="C1:I1"/>
    </sheetView>
  </sheetViews>
  <sheetFormatPr baseColWidth="10" defaultColWidth="11" defaultRowHeight="16" x14ac:dyDescent="0.2"/>
  <cols>
    <col min="2" max="2" width="29.33203125" customWidth="1"/>
    <col min="3" max="3" width="13.6640625" bestFit="1" customWidth="1"/>
    <col min="4" max="4" width="19.6640625" customWidth="1"/>
    <col min="5" max="5" width="17.33203125" customWidth="1"/>
    <col min="6" max="6" width="13.83203125" bestFit="1" customWidth="1"/>
    <col min="7" max="7" width="15.5" customWidth="1"/>
    <col min="8" max="8" width="20.83203125" customWidth="1"/>
    <col min="9" max="9" width="16.6640625" customWidth="1"/>
    <col min="10" max="10" width="55.33203125" customWidth="1"/>
  </cols>
  <sheetData>
    <row r="1" spans="1:10" ht="102" x14ac:dyDescent="0.2">
      <c r="A1" s="17" t="s">
        <v>14</v>
      </c>
      <c r="B1" s="18"/>
      <c r="C1" s="19" t="s">
        <v>9</v>
      </c>
      <c r="D1" s="19" t="s">
        <v>21</v>
      </c>
      <c r="E1" s="19" t="s">
        <v>11</v>
      </c>
      <c r="F1" s="19" t="s">
        <v>12</v>
      </c>
      <c r="G1" s="19" t="s">
        <v>23</v>
      </c>
      <c r="H1" s="19" t="s">
        <v>28</v>
      </c>
      <c r="I1" s="19" t="s">
        <v>74</v>
      </c>
      <c r="J1" s="20" t="s">
        <v>13</v>
      </c>
    </row>
    <row r="2" spans="1:10" x14ac:dyDescent="0.2">
      <c r="A2" t="s">
        <v>1</v>
      </c>
      <c r="B2" t="s">
        <v>2</v>
      </c>
      <c r="C2" t="s">
        <v>3</v>
      </c>
      <c r="D2" t="s">
        <v>5</v>
      </c>
      <c r="E2" t="s">
        <v>10</v>
      </c>
      <c r="F2" t="s">
        <v>4</v>
      </c>
      <c r="G2" t="s">
        <v>22</v>
      </c>
      <c r="H2" t="s">
        <v>6</v>
      </c>
      <c r="I2" t="s">
        <v>7</v>
      </c>
      <c r="J2" t="s">
        <v>8</v>
      </c>
    </row>
    <row r="3" spans="1:10" ht="51" x14ac:dyDescent="0.2">
      <c r="A3" s="8">
        <v>45890</v>
      </c>
      <c r="B3" s="11" t="s">
        <v>89</v>
      </c>
      <c r="C3" s="1" t="s">
        <v>68</v>
      </c>
      <c r="D3" s="1" t="s">
        <v>69</v>
      </c>
      <c r="E3" s="2"/>
      <c r="F3" s="1" t="s">
        <v>70</v>
      </c>
      <c r="G3" s="2" t="s">
        <v>71</v>
      </c>
      <c r="H3" s="1" t="s">
        <v>72</v>
      </c>
      <c r="I3" s="1" t="s">
        <v>73</v>
      </c>
      <c r="J3" s="9" t="s">
        <v>56</v>
      </c>
    </row>
    <row r="4" spans="1:10" ht="68" x14ac:dyDescent="0.2">
      <c r="A4" s="8">
        <v>45891</v>
      </c>
      <c r="B4" s="11" t="s">
        <v>90</v>
      </c>
      <c r="C4" s="1" t="s">
        <v>68</v>
      </c>
      <c r="D4" s="1" t="s">
        <v>69</v>
      </c>
      <c r="E4" s="2" t="s">
        <v>75</v>
      </c>
      <c r="F4" s="1" t="s">
        <v>76</v>
      </c>
      <c r="G4" s="2" t="s">
        <v>71</v>
      </c>
      <c r="H4" s="1" t="s">
        <v>72</v>
      </c>
      <c r="I4" s="1" t="s">
        <v>77</v>
      </c>
      <c r="J4" s="9" t="s">
        <v>57</v>
      </c>
    </row>
    <row r="5" spans="1:10" ht="68" x14ac:dyDescent="0.2">
      <c r="A5" s="8">
        <v>45891</v>
      </c>
      <c r="B5" s="10" t="s">
        <v>94</v>
      </c>
      <c r="C5" s="1" t="s">
        <v>68</v>
      </c>
      <c r="D5" s="1" t="s">
        <v>69</v>
      </c>
      <c r="E5" s="2" t="s">
        <v>87</v>
      </c>
      <c r="F5" s="1" t="s">
        <v>76</v>
      </c>
      <c r="G5" s="2" t="s">
        <v>71</v>
      </c>
      <c r="H5" s="1" t="s">
        <v>72</v>
      </c>
      <c r="I5" s="1" t="s">
        <v>73</v>
      </c>
      <c r="J5" s="9" t="s">
        <v>61</v>
      </c>
    </row>
    <row r="6" spans="1:10" ht="53" customHeight="1" x14ac:dyDescent="0.2">
      <c r="A6" s="8">
        <v>45891</v>
      </c>
      <c r="B6" s="10" t="s">
        <v>95</v>
      </c>
      <c r="C6" s="1" t="s">
        <v>78</v>
      </c>
      <c r="D6" s="1" t="s">
        <v>69</v>
      </c>
      <c r="E6" s="2"/>
      <c r="F6" s="1" t="s">
        <v>70</v>
      </c>
      <c r="G6" s="2" t="s">
        <v>71</v>
      </c>
      <c r="H6" s="1" t="s">
        <v>81</v>
      </c>
      <c r="I6" s="1" t="s">
        <v>82</v>
      </c>
      <c r="J6" s="9" t="s">
        <v>62</v>
      </c>
    </row>
    <row r="7" spans="1:10" ht="53" customHeight="1" x14ac:dyDescent="0.2">
      <c r="A7" s="8">
        <v>45891</v>
      </c>
      <c r="B7" s="10" t="s">
        <v>96</v>
      </c>
      <c r="C7" s="1" t="s">
        <v>78</v>
      </c>
      <c r="D7" s="1" t="s">
        <v>69</v>
      </c>
      <c r="E7" s="2"/>
      <c r="F7" s="1" t="s">
        <v>79</v>
      </c>
      <c r="G7" s="2" t="s">
        <v>71</v>
      </c>
      <c r="H7" s="1" t="s">
        <v>88</v>
      </c>
      <c r="I7" s="1" t="s">
        <v>82</v>
      </c>
      <c r="J7" s="9" t="s">
        <v>63</v>
      </c>
    </row>
    <row r="8" spans="1:10" ht="68" x14ac:dyDescent="0.2">
      <c r="A8" s="8">
        <v>45896</v>
      </c>
      <c r="B8" s="11" t="s">
        <v>92</v>
      </c>
      <c r="C8" s="1" t="s">
        <v>83</v>
      </c>
      <c r="D8" s="1" t="s">
        <v>69</v>
      </c>
      <c r="E8" s="2"/>
      <c r="F8" s="1" t="s">
        <v>79</v>
      </c>
      <c r="G8" s="2" t="s">
        <v>80</v>
      </c>
      <c r="H8" s="1"/>
      <c r="I8" s="1" t="s">
        <v>84</v>
      </c>
      <c r="J8" s="9" t="s">
        <v>64</v>
      </c>
    </row>
    <row r="9" spans="1:10" ht="52" customHeight="1" x14ac:dyDescent="0.2">
      <c r="A9" s="8">
        <v>45896</v>
      </c>
      <c r="B9" s="10" t="s">
        <v>97</v>
      </c>
      <c r="C9" s="1" t="s">
        <v>78</v>
      </c>
      <c r="D9" s="1" t="s">
        <v>69</v>
      </c>
      <c r="E9" s="2"/>
      <c r="F9" s="1" t="s">
        <v>76</v>
      </c>
      <c r="G9" s="2" t="s">
        <v>80</v>
      </c>
      <c r="H9" s="1" t="s">
        <v>72</v>
      </c>
      <c r="I9" s="1" t="s">
        <v>82</v>
      </c>
      <c r="J9" s="9" t="s">
        <v>59</v>
      </c>
    </row>
    <row r="10" spans="1:10" ht="68" x14ac:dyDescent="0.2">
      <c r="A10" s="8">
        <v>45896</v>
      </c>
      <c r="B10" s="10" t="s">
        <v>98</v>
      </c>
      <c r="C10" s="1" t="s">
        <v>68</v>
      </c>
      <c r="D10" s="1" t="s">
        <v>69</v>
      </c>
      <c r="E10" s="2"/>
      <c r="F10" s="1" t="s">
        <v>76</v>
      </c>
      <c r="G10" s="2" t="s">
        <v>80</v>
      </c>
      <c r="H10" s="1"/>
      <c r="I10" s="1" t="s">
        <v>73</v>
      </c>
      <c r="J10" s="9" t="s">
        <v>65</v>
      </c>
    </row>
    <row r="11" spans="1:10" ht="68" x14ac:dyDescent="0.2">
      <c r="A11" s="8">
        <v>45897</v>
      </c>
      <c r="B11" s="10" t="s">
        <v>99</v>
      </c>
      <c r="C11" s="1" t="s">
        <v>78</v>
      </c>
      <c r="D11" s="1" t="s">
        <v>69</v>
      </c>
      <c r="E11" s="2"/>
      <c r="F11" s="1" t="s">
        <v>76</v>
      </c>
      <c r="G11" s="2" t="s">
        <v>80</v>
      </c>
      <c r="H11" s="1" t="s">
        <v>88</v>
      </c>
      <c r="I11" s="1" t="s">
        <v>82</v>
      </c>
      <c r="J11" s="9" t="s">
        <v>101</v>
      </c>
    </row>
    <row r="12" spans="1:10" ht="68" x14ac:dyDescent="0.2">
      <c r="A12" s="8">
        <v>45901</v>
      </c>
      <c r="B12" s="12" t="s">
        <v>93</v>
      </c>
      <c r="C12" s="1" t="s">
        <v>68</v>
      </c>
      <c r="D12" s="1" t="s">
        <v>69</v>
      </c>
      <c r="E12" s="2" t="s">
        <v>85</v>
      </c>
      <c r="F12" s="1" t="s">
        <v>76</v>
      </c>
      <c r="G12" s="2" t="s">
        <v>71</v>
      </c>
      <c r="H12" s="1" t="s">
        <v>72</v>
      </c>
      <c r="I12" s="1" t="s">
        <v>86</v>
      </c>
      <c r="J12" s="9" t="s">
        <v>60</v>
      </c>
    </row>
    <row r="13" spans="1:10" ht="51" x14ac:dyDescent="0.2">
      <c r="A13" s="8">
        <v>45902</v>
      </c>
      <c r="B13" s="12" t="s">
        <v>102</v>
      </c>
      <c r="C13" s="1" t="s">
        <v>78</v>
      </c>
      <c r="D13" s="1" t="s">
        <v>69</v>
      </c>
      <c r="E13" s="2"/>
      <c r="F13" s="1" t="s">
        <v>76</v>
      </c>
      <c r="G13" s="2" t="s">
        <v>80</v>
      </c>
      <c r="H13" s="1" t="s">
        <v>81</v>
      </c>
      <c r="I13" s="1" t="s">
        <v>82</v>
      </c>
      <c r="J13" s="9" t="s">
        <v>66</v>
      </c>
    </row>
    <row r="14" spans="1:10" ht="38" customHeight="1" x14ac:dyDescent="0.2">
      <c r="A14" s="8">
        <v>45909</v>
      </c>
      <c r="B14" s="10" t="s">
        <v>100</v>
      </c>
      <c r="C14" s="1" t="s">
        <v>78</v>
      </c>
      <c r="D14" s="1" t="s">
        <v>69</v>
      </c>
      <c r="E14" s="2"/>
      <c r="F14" s="1" t="s">
        <v>76</v>
      </c>
      <c r="G14" s="2" t="s">
        <v>80</v>
      </c>
      <c r="H14" s="1"/>
      <c r="I14" s="1" t="s">
        <v>82</v>
      </c>
      <c r="J14" s="9" t="s">
        <v>67</v>
      </c>
    </row>
    <row r="15" spans="1:10" ht="51" x14ac:dyDescent="0.2">
      <c r="A15" s="8">
        <v>45922</v>
      </c>
      <c r="B15" s="10" t="s">
        <v>129</v>
      </c>
      <c r="C15" s="1" t="s">
        <v>78</v>
      </c>
      <c r="D15" s="1" t="s">
        <v>69</v>
      </c>
      <c r="E15" s="2"/>
      <c r="F15" s="1" t="s">
        <v>76</v>
      </c>
      <c r="G15" s="2" t="s">
        <v>71</v>
      </c>
      <c r="H15" s="1" t="s">
        <v>81</v>
      </c>
      <c r="I15" s="1" t="s">
        <v>84</v>
      </c>
      <c r="J15" s="9" t="s">
        <v>128</v>
      </c>
    </row>
    <row r="16" spans="1:10" ht="51" x14ac:dyDescent="0.2">
      <c r="A16" s="8">
        <v>45925</v>
      </c>
      <c r="B16" s="10" t="s">
        <v>91</v>
      </c>
      <c r="C16" s="1" t="s">
        <v>78</v>
      </c>
      <c r="D16" s="1" t="s">
        <v>69</v>
      </c>
      <c r="E16" s="2"/>
      <c r="F16" s="1" t="s">
        <v>70</v>
      </c>
      <c r="G16" s="2" t="s">
        <v>80</v>
      </c>
      <c r="H16" s="1" t="s">
        <v>88</v>
      </c>
      <c r="I16" s="1" t="s">
        <v>82</v>
      </c>
      <c r="J16" s="9" t="s">
        <v>58</v>
      </c>
    </row>
    <row r="17" spans="1:10" ht="68" x14ac:dyDescent="0.2">
      <c r="A17" s="8">
        <v>45951</v>
      </c>
      <c r="B17" s="10" t="s">
        <v>131</v>
      </c>
      <c r="C17" s="1" t="s">
        <v>78</v>
      </c>
      <c r="D17" s="1" t="s">
        <v>69</v>
      </c>
      <c r="E17" s="2"/>
      <c r="F17" s="1" t="s">
        <v>70</v>
      </c>
      <c r="G17" s="2" t="s">
        <v>80</v>
      </c>
      <c r="H17" s="1" t="s">
        <v>88</v>
      </c>
      <c r="I17" s="1" t="s">
        <v>82</v>
      </c>
      <c r="J17" s="9" t="s">
        <v>130</v>
      </c>
    </row>
    <row r="18" spans="1:10" ht="51" x14ac:dyDescent="0.2">
      <c r="A18" s="8">
        <v>45986</v>
      </c>
      <c r="B18" s="10" t="s">
        <v>133</v>
      </c>
      <c r="C18" s="1" t="s">
        <v>78</v>
      </c>
      <c r="D18" s="1" t="s">
        <v>69</v>
      </c>
      <c r="E18" s="2" t="s">
        <v>134</v>
      </c>
      <c r="F18" s="1" t="s">
        <v>76</v>
      </c>
      <c r="G18" s="2" t="s">
        <v>71</v>
      </c>
      <c r="H18" s="1" t="s">
        <v>81</v>
      </c>
      <c r="I18" s="1" t="s">
        <v>84</v>
      </c>
      <c r="J18" s="9" t="s">
        <v>132</v>
      </c>
    </row>
    <row r="19" spans="1:10" ht="51" x14ac:dyDescent="0.2">
      <c r="A19" s="8">
        <v>45986</v>
      </c>
      <c r="B19" s="10" t="s">
        <v>136</v>
      </c>
      <c r="C19" s="1" t="s">
        <v>83</v>
      </c>
      <c r="D19" s="1" t="s">
        <v>69</v>
      </c>
      <c r="E19" s="2" t="s">
        <v>134</v>
      </c>
      <c r="F19" s="1" t="s">
        <v>76</v>
      </c>
      <c r="G19" s="2" t="s">
        <v>71</v>
      </c>
      <c r="H19" s="1" t="s">
        <v>72</v>
      </c>
      <c r="I19" s="1" t="s">
        <v>84</v>
      </c>
      <c r="J19" s="9" t="s">
        <v>135</v>
      </c>
    </row>
    <row r="20" spans="1:10" ht="64" customHeight="1" x14ac:dyDescent="0.2">
      <c r="A20" s="8">
        <v>45986</v>
      </c>
      <c r="B20" s="14" t="s">
        <v>138</v>
      </c>
      <c r="C20" s="1" t="s">
        <v>83</v>
      </c>
      <c r="D20" s="1" t="s">
        <v>69</v>
      </c>
      <c r="E20" s="2" t="s">
        <v>85</v>
      </c>
      <c r="F20" s="1" t="s">
        <v>70</v>
      </c>
      <c r="G20" s="2" t="s">
        <v>71</v>
      </c>
      <c r="H20" s="1" t="s">
        <v>72</v>
      </c>
      <c r="I20" s="1" t="s">
        <v>84</v>
      </c>
      <c r="J20" s="9" t="s">
        <v>137</v>
      </c>
    </row>
    <row r="21" spans="1:10" ht="51" x14ac:dyDescent="0.2">
      <c r="A21" s="8">
        <v>46062</v>
      </c>
      <c r="B21" s="10" t="s">
        <v>158</v>
      </c>
      <c r="C21" s="1" t="s">
        <v>78</v>
      </c>
      <c r="D21" s="1" t="s">
        <v>69</v>
      </c>
      <c r="E21" s="2"/>
      <c r="F21" s="1" t="s">
        <v>76</v>
      </c>
      <c r="G21" s="2" t="s">
        <v>80</v>
      </c>
      <c r="H21" s="1" t="s">
        <v>81</v>
      </c>
      <c r="I21" s="1" t="s">
        <v>82</v>
      </c>
      <c r="J21" s="9" t="s">
        <v>156</v>
      </c>
    </row>
    <row r="22" spans="1:10" ht="51" x14ac:dyDescent="0.2">
      <c r="A22" s="8">
        <v>46064</v>
      </c>
      <c r="B22" s="10" t="s">
        <v>159</v>
      </c>
      <c r="C22" s="1" t="s">
        <v>68</v>
      </c>
      <c r="D22" s="1" t="s">
        <v>69</v>
      </c>
      <c r="E22" s="2" t="s">
        <v>87</v>
      </c>
      <c r="F22" s="1" t="s">
        <v>76</v>
      </c>
      <c r="G22" s="2" t="s">
        <v>71</v>
      </c>
      <c r="H22" s="1" t="s">
        <v>72</v>
      </c>
      <c r="I22" s="1" t="s">
        <v>73</v>
      </c>
      <c r="J22" s="9" t="s">
        <v>157</v>
      </c>
    </row>
    <row r="23" spans="1:10" x14ac:dyDescent="0.2">
      <c r="J23" s="7"/>
    </row>
    <row r="24" spans="1:10" x14ac:dyDescent="0.2">
      <c r="J24" s="7"/>
    </row>
    <row r="25" spans="1:10" x14ac:dyDescent="0.2">
      <c r="J25" s="7"/>
    </row>
    <row r="26" spans="1:10" x14ac:dyDescent="0.2">
      <c r="J26" s="7"/>
    </row>
    <row r="27" spans="1:10" x14ac:dyDescent="0.2">
      <c r="J27" s="7"/>
    </row>
    <row r="28" spans="1:10" x14ac:dyDescent="0.2">
      <c r="J28" s="7"/>
    </row>
    <row r="29" spans="1:10" x14ac:dyDescent="0.2">
      <c r="J29" s="7"/>
    </row>
    <row r="30" spans="1:10" x14ac:dyDescent="0.2">
      <c r="J30" s="7"/>
    </row>
  </sheetData>
  <hyperlinks>
    <hyperlink ref="J3" r:id="rId1" xr:uid="{9AE145B2-B26F-D742-8397-0FB48CBBC2F0}"/>
    <hyperlink ref="J4" r:id="rId2" xr:uid="{0ABCC42B-E766-614A-BC90-4F18B8CEF0A9}"/>
    <hyperlink ref="J12" r:id="rId3" xr:uid="{D7C76307-212A-C849-8E4C-E69B7F8A9B4A}"/>
    <hyperlink ref="J5" r:id="rId4" xr:uid="{66E80507-9F66-0A44-B492-8194E30DFD98}"/>
    <hyperlink ref="J6" r:id="rId5" xr:uid="{D3852F36-E11F-C54D-BED9-5C11F108AEAF}"/>
    <hyperlink ref="J7" r:id="rId6" xr:uid="{70EAF21B-CFE6-B34E-BE2C-3C3F85A5DD4A}"/>
    <hyperlink ref="J16" r:id="rId7" xr:uid="{0A4AAFAB-D161-6449-9612-9E23D418FBB5}"/>
    <hyperlink ref="J9" r:id="rId8" xr:uid="{3DA4C5F4-CAE1-F94F-A1C1-5DBBA4775697}"/>
    <hyperlink ref="J10" r:id="rId9" xr:uid="{1FA905DB-186F-074C-AC6D-76A17177F7EB}"/>
    <hyperlink ref="J14" r:id="rId10" xr:uid="{F2E3668A-EDAC-4642-86FF-8D115D62A3AD}"/>
    <hyperlink ref="J13" r:id="rId11" xr:uid="{85CC8A64-A612-1642-B117-2066FCD0B867}"/>
    <hyperlink ref="J11" r:id="rId12" xr:uid="{A78D990D-AEF5-3248-B233-D7086A6BE680}"/>
    <hyperlink ref="J15" r:id="rId13" xr:uid="{11D26ADF-1821-E842-9A88-D140295E0C84}"/>
    <hyperlink ref="J17" r:id="rId14" xr:uid="{5D8740C7-ADF9-204C-B645-42C490785FE9}"/>
    <hyperlink ref="J18" r:id="rId15" xr:uid="{426F4C2A-F051-AA45-B07C-9032B75328A0}"/>
    <hyperlink ref="J19" r:id="rId16" xr:uid="{F2AF6E1C-EF24-B247-BF4D-EA2FEF8F0643}"/>
    <hyperlink ref="J20" r:id="rId17" xr:uid="{0362A5E7-4F43-F247-8AD5-EB54D3344908}"/>
    <hyperlink ref="J21" r:id="rId18" xr:uid="{E51F0E91-93B1-BB4B-9E3A-320AFEE0E0DD}"/>
    <hyperlink ref="J22" r:id="rId19" xr:uid="{0C14D377-5099-1C48-ADF2-1BA409317FA9}"/>
  </hyperlinks>
  <pageMargins left="0.7" right="0.7" top="0.75" bottom="0.75" header="0.3" footer="0.3"/>
  <tableParts count="1">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F160-A2E5-9F4F-A01D-2FE213102C3E}">
  <dimension ref="A1:K59"/>
  <sheetViews>
    <sheetView zoomScale="91" workbookViewId="0">
      <selection activeCell="I12" sqref="I12"/>
    </sheetView>
  </sheetViews>
  <sheetFormatPr baseColWidth="10" defaultColWidth="11" defaultRowHeight="16" x14ac:dyDescent="0.2"/>
  <cols>
    <col min="2" max="2" width="32.83203125" customWidth="1"/>
    <col min="3" max="3" width="14.83203125" bestFit="1" customWidth="1"/>
    <col min="4" max="4" width="19.6640625" customWidth="1"/>
    <col min="5" max="5" width="19" customWidth="1"/>
    <col min="6" max="6" width="16.5" customWidth="1"/>
    <col min="7" max="7" width="20.83203125" customWidth="1"/>
    <col min="8" max="8" width="21.5" customWidth="1"/>
    <col min="9" max="9" width="16" customWidth="1"/>
    <col min="10" max="10" width="65.5" customWidth="1"/>
  </cols>
  <sheetData>
    <row r="1" spans="1:11" ht="102" x14ac:dyDescent="0.2">
      <c r="A1" s="1" t="s">
        <v>14</v>
      </c>
      <c r="B1" s="1"/>
      <c r="C1" s="2" t="s">
        <v>9</v>
      </c>
      <c r="D1" s="2" t="s">
        <v>21</v>
      </c>
      <c r="E1" s="2" t="s">
        <v>11</v>
      </c>
      <c r="F1" s="2" t="s">
        <v>12</v>
      </c>
      <c r="G1" s="2" t="s">
        <v>23</v>
      </c>
      <c r="H1" s="2" t="s">
        <v>28</v>
      </c>
      <c r="I1" s="19" t="s">
        <v>74</v>
      </c>
      <c r="J1" s="1" t="s">
        <v>13</v>
      </c>
      <c r="K1" s="1"/>
    </row>
    <row r="2" spans="1:11" x14ac:dyDescent="0.2">
      <c r="A2" t="s">
        <v>1</v>
      </c>
      <c r="B2" t="s">
        <v>2</v>
      </c>
      <c r="C2" t="s">
        <v>3</v>
      </c>
      <c r="D2" t="s">
        <v>5</v>
      </c>
      <c r="E2" t="s">
        <v>10</v>
      </c>
      <c r="F2" t="s">
        <v>4</v>
      </c>
      <c r="G2" t="s">
        <v>22</v>
      </c>
      <c r="H2" t="s">
        <v>6</v>
      </c>
      <c r="I2" t="s">
        <v>7</v>
      </c>
      <c r="J2" t="s">
        <v>8</v>
      </c>
    </row>
    <row r="3" spans="1:11" ht="51" x14ac:dyDescent="0.2">
      <c r="A3" s="8">
        <v>45889</v>
      </c>
      <c r="B3" s="13" t="s">
        <v>116</v>
      </c>
      <c r="C3" s="1" t="s">
        <v>68</v>
      </c>
      <c r="D3" s="1" t="s">
        <v>69</v>
      </c>
      <c r="E3" s="2"/>
      <c r="F3" s="1" t="s">
        <v>76</v>
      </c>
      <c r="G3" s="2" t="s">
        <v>80</v>
      </c>
      <c r="H3" s="2"/>
      <c r="I3" s="2" t="s">
        <v>73</v>
      </c>
      <c r="J3" s="9" t="s">
        <v>44</v>
      </c>
    </row>
    <row r="4" spans="1:11" ht="85" x14ac:dyDescent="0.2">
      <c r="A4" s="8">
        <v>45889</v>
      </c>
      <c r="B4" s="13" t="s">
        <v>127</v>
      </c>
      <c r="C4" s="1" t="s">
        <v>83</v>
      </c>
      <c r="D4" s="1" t="s">
        <v>69</v>
      </c>
      <c r="E4" s="2"/>
      <c r="F4" s="1" t="s">
        <v>70</v>
      </c>
      <c r="G4" s="2" t="s">
        <v>71</v>
      </c>
      <c r="H4" s="2"/>
      <c r="I4" s="2" t="s">
        <v>73</v>
      </c>
      <c r="J4" s="9" t="s">
        <v>55</v>
      </c>
    </row>
    <row r="5" spans="1:11" ht="51" x14ac:dyDescent="0.2">
      <c r="A5" s="8">
        <v>45890</v>
      </c>
      <c r="B5" s="13" t="s">
        <v>103</v>
      </c>
      <c r="C5" s="1" t="s">
        <v>68</v>
      </c>
      <c r="D5" s="1" t="s">
        <v>69</v>
      </c>
      <c r="E5" s="2"/>
      <c r="F5" s="1" t="s">
        <v>79</v>
      </c>
      <c r="G5" s="2" t="s">
        <v>71</v>
      </c>
      <c r="H5" s="2" t="s">
        <v>72</v>
      </c>
      <c r="I5" s="2" t="s">
        <v>73</v>
      </c>
      <c r="J5" s="9" t="s">
        <v>31</v>
      </c>
    </row>
    <row r="6" spans="1:11" ht="51" x14ac:dyDescent="0.2">
      <c r="A6" s="8">
        <v>45890</v>
      </c>
      <c r="B6" s="13" t="s">
        <v>106</v>
      </c>
      <c r="C6" s="1" t="s">
        <v>68</v>
      </c>
      <c r="D6" s="1" t="s">
        <v>69</v>
      </c>
      <c r="E6" s="2"/>
      <c r="F6" s="1" t="s">
        <v>70</v>
      </c>
      <c r="G6" s="2" t="s">
        <v>71</v>
      </c>
      <c r="H6" s="2"/>
      <c r="I6" s="2" t="s">
        <v>73</v>
      </c>
      <c r="J6" s="9" t="s">
        <v>33</v>
      </c>
    </row>
    <row r="7" spans="1:11" ht="68" x14ac:dyDescent="0.2">
      <c r="A7" s="8">
        <v>45890</v>
      </c>
      <c r="B7" s="13" t="s">
        <v>108</v>
      </c>
      <c r="C7" s="1" t="s">
        <v>83</v>
      </c>
      <c r="D7" s="1" t="s">
        <v>69</v>
      </c>
      <c r="E7" s="2"/>
      <c r="F7" s="1" t="s">
        <v>76</v>
      </c>
      <c r="G7" s="2" t="s">
        <v>71</v>
      </c>
      <c r="H7" s="2" t="s">
        <v>81</v>
      </c>
      <c r="I7" s="2" t="s">
        <v>77</v>
      </c>
      <c r="J7" s="9" t="s">
        <v>36</v>
      </c>
    </row>
    <row r="8" spans="1:11" ht="34" x14ac:dyDescent="0.2">
      <c r="A8" s="8">
        <v>45890</v>
      </c>
      <c r="B8" s="13" t="s">
        <v>123</v>
      </c>
      <c r="C8" s="1" t="s">
        <v>83</v>
      </c>
      <c r="D8" s="1" t="s">
        <v>69</v>
      </c>
      <c r="E8" s="2"/>
      <c r="F8" s="1" t="s">
        <v>79</v>
      </c>
      <c r="G8" s="2" t="s">
        <v>80</v>
      </c>
      <c r="H8" s="2"/>
      <c r="I8" s="2" t="s">
        <v>84</v>
      </c>
      <c r="J8" s="9" t="s">
        <v>51</v>
      </c>
    </row>
    <row r="9" spans="1:11" ht="41" customHeight="1" x14ac:dyDescent="0.2">
      <c r="A9" s="8">
        <v>45891</v>
      </c>
      <c r="B9" s="13" t="s">
        <v>105</v>
      </c>
      <c r="C9" s="1" t="s">
        <v>68</v>
      </c>
      <c r="D9" s="1" t="s">
        <v>69</v>
      </c>
      <c r="E9" s="2"/>
      <c r="F9" s="1" t="s">
        <v>76</v>
      </c>
      <c r="G9" s="2" t="s">
        <v>71</v>
      </c>
      <c r="H9" s="2" t="s">
        <v>72</v>
      </c>
      <c r="I9" s="2" t="s">
        <v>73</v>
      </c>
      <c r="J9" s="9" t="s">
        <v>34</v>
      </c>
    </row>
    <row r="10" spans="1:11" ht="68" x14ac:dyDescent="0.2">
      <c r="A10" s="8">
        <v>45891</v>
      </c>
      <c r="B10" s="13" t="s">
        <v>107</v>
      </c>
      <c r="C10" s="1" t="s">
        <v>83</v>
      </c>
      <c r="D10" s="1" t="s">
        <v>69</v>
      </c>
      <c r="E10" s="2"/>
      <c r="F10" s="1" t="s">
        <v>70</v>
      </c>
      <c r="G10" s="2" t="s">
        <v>71</v>
      </c>
      <c r="H10" s="2"/>
      <c r="I10" s="2" t="s">
        <v>84</v>
      </c>
      <c r="J10" s="9" t="s">
        <v>32</v>
      </c>
    </row>
    <row r="11" spans="1:11" ht="51" x14ac:dyDescent="0.2">
      <c r="A11" s="8">
        <v>45891</v>
      </c>
      <c r="B11" s="13" t="s">
        <v>112</v>
      </c>
      <c r="C11" s="1" t="s">
        <v>78</v>
      </c>
      <c r="D11" s="1" t="s">
        <v>69</v>
      </c>
      <c r="E11" s="2"/>
      <c r="F11" s="1" t="s">
        <v>79</v>
      </c>
      <c r="G11" s="2" t="s">
        <v>71</v>
      </c>
      <c r="H11" s="2" t="s">
        <v>88</v>
      </c>
      <c r="I11" s="2" t="s">
        <v>82</v>
      </c>
      <c r="J11" s="9" t="s">
        <v>40</v>
      </c>
    </row>
    <row r="12" spans="1:11" ht="51" x14ac:dyDescent="0.2">
      <c r="A12" s="8">
        <v>45891</v>
      </c>
      <c r="B12" s="13" t="s">
        <v>119</v>
      </c>
      <c r="C12" s="1" t="s">
        <v>68</v>
      </c>
      <c r="D12" s="1" t="s">
        <v>69</v>
      </c>
      <c r="E12" s="2" t="s">
        <v>87</v>
      </c>
      <c r="F12" s="1" t="s">
        <v>76</v>
      </c>
      <c r="G12" s="2" t="s">
        <v>71</v>
      </c>
      <c r="H12" s="2"/>
      <c r="I12" s="2" t="s">
        <v>86</v>
      </c>
      <c r="J12" s="9" t="s">
        <v>47</v>
      </c>
    </row>
    <row r="13" spans="1:11" ht="51" x14ac:dyDescent="0.2">
      <c r="A13" s="8">
        <v>45894</v>
      </c>
      <c r="B13" s="13" t="s">
        <v>109</v>
      </c>
      <c r="C13" s="1" t="s">
        <v>78</v>
      </c>
      <c r="D13" s="1" t="s">
        <v>69</v>
      </c>
      <c r="E13" s="2"/>
      <c r="F13" s="1" t="s">
        <v>79</v>
      </c>
      <c r="G13" s="2" t="s">
        <v>71</v>
      </c>
      <c r="H13" s="2" t="s">
        <v>88</v>
      </c>
      <c r="I13" s="2" t="s">
        <v>82</v>
      </c>
      <c r="J13" s="9" t="s">
        <v>37</v>
      </c>
    </row>
    <row r="14" spans="1:11" ht="51" x14ac:dyDescent="0.2">
      <c r="A14" s="8">
        <v>45894</v>
      </c>
      <c r="B14" s="13" t="s">
        <v>110</v>
      </c>
      <c r="C14" s="1" t="s">
        <v>68</v>
      </c>
      <c r="D14" s="1" t="s">
        <v>69</v>
      </c>
      <c r="E14" s="2" t="s">
        <v>85</v>
      </c>
      <c r="F14" s="1" t="s">
        <v>76</v>
      </c>
      <c r="G14" s="2" t="s">
        <v>71</v>
      </c>
      <c r="H14" s="2" t="s">
        <v>72</v>
      </c>
      <c r="I14" s="2" t="s">
        <v>86</v>
      </c>
      <c r="J14" s="9" t="s">
        <v>38</v>
      </c>
    </row>
    <row r="15" spans="1:11" ht="51" x14ac:dyDescent="0.2">
      <c r="A15" s="8">
        <v>45895</v>
      </c>
      <c r="B15" s="13" t="s">
        <v>117</v>
      </c>
      <c r="C15" s="1" t="s">
        <v>83</v>
      </c>
      <c r="D15" s="1" t="s">
        <v>69</v>
      </c>
      <c r="E15" s="2"/>
      <c r="F15" s="1" t="s">
        <v>79</v>
      </c>
      <c r="G15" s="2" t="s">
        <v>80</v>
      </c>
      <c r="H15" s="2"/>
      <c r="I15" s="2" t="s">
        <v>84</v>
      </c>
      <c r="J15" s="9" t="s">
        <v>45</v>
      </c>
    </row>
    <row r="16" spans="1:11" ht="51" x14ac:dyDescent="0.2">
      <c r="A16" s="8">
        <v>45895</v>
      </c>
      <c r="B16" s="13" t="s">
        <v>125</v>
      </c>
      <c r="C16" s="1" t="s">
        <v>68</v>
      </c>
      <c r="D16" s="1" t="s">
        <v>69</v>
      </c>
      <c r="E16" s="2" t="s">
        <v>87</v>
      </c>
      <c r="F16" s="1" t="s">
        <v>76</v>
      </c>
      <c r="G16" s="2" t="s">
        <v>71</v>
      </c>
      <c r="H16" s="2"/>
      <c r="I16" s="2" t="s">
        <v>73</v>
      </c>
      <c r="J16" s="9" t="s">
        <v>52</v>
      </c>
    </row>
    <row r="17" spans="1:10" ht="51" x14ac:dyDescent="0.2">
      <c r="A17" s="8">
        <v>45895</v>
      </c>
      <c r="B17" s="13" t="s">
        <v>124</v>
      </c>
      <c r="C17" s="1" t="s">
        <v>68</v>
      </c>
      <c r="D17" s="1" t="s">
        <v>69</v>
      </c>
      <c r="E17" s="2" t="s">
        <v>87</v>
      </c>
      <c r="F17" s="1" t="s">
        <v>76</v>
      </c>
      <c r="G17" s="2" t="s">
        <v>71</v>
      </c>
      <c r="H17" s="2" t="s">
        <v>72</v>
      </c>
      <c r="I17" s="2" t="s">
        <v>73</v>
      </c>
      <c r="J17" s="9" t="s">
        <v>53</v>
      </c>
    </row>
    <row r="18" spans="1:10" ht="34" x14ac:dyDescent="0.2">
      <c r="A18" s="8">
        <v>45898</v>
      </c>
      <c r="B18" s="13" t="s">
        <v>104</v>
      </c>
      <c r="C18" s="1" t="s">
        <v>68</v>
      </c>
      <c r="D18" s="1" t="s">
        <v>69</v>
      </c>
      <c r="E18" s="2" t="s">
        <v>85</v>
      </c>
      <c r="F18" s="1" t="s">
        <v>76</v>
      </c>
      <c r="G18" s="2" t="s">
        <v>71</v>
      </c>
      <c r="H18" s="2" t="s">
        <v>72</v>
      </c>
      <c r="I18" s="2" t="s">
        <v>86</v>
      </c>
      <c r="J18" s="9" t="s">
        <v>35</v>
      </c>
    </row>
    <row r="19" spans="1:10" ht="34" x14ac:dyDescent="0.2">
      <c r="A19" s="8">
        <v>45898</v>
      </c>
      <c r="B19" s="13" t="s">
        <v>118</v>
      </c>
      <c r="C19" s="1" t="s">
        <v>83</v>
      </c>
      <c r="D19" s="1" t="s">
        <v>69</v>
      </c>
      <c r="E19" s="2"/>
      <c r="F19" s="1" t="s">
        <v>79</v>
      </c>
      <c r="G19" s="2" t="s">
        <v>80</v>
      </c>
      <c r="H19" s="2"/>
      <c r="I19" s="2" t="s">
        <v>84</v>
      </c>
      <c r="J19" s="9" t="s">
        <v>46</v>
      </c>
    </row>
    <row r="20" spans="1:10" ht="40" customHeight="1" x14ac:dyDescent="0.2">
      <c r="A20" s="8">
        <v>45898</v>
      </c>
      <c r="B20" s="13" t="s">
        <v>122</v>
      </c>
      <c r="C20" s="1" t="s">
        <v>78</v>
      </c>
      <c r="D20" s="1" t="s">
        <v>69</v>
      </c>
      <c r="E20" s="2"/>
      <c r="F20" s="1" t="s">
        <v>79</v>
      </c>
      <c r="G20" s="2" t="s">
        <v>71</v>
      </c>
      <c r="H20" s="2" t="s">
        <v>88</v>
      </c>
      <c r="I20" s="2" t="s">
        <v>82</v>
      </c>
      <c r="J20" s="9" t="s">
        <v>50</v>
      </c>
    </row>
    <row r="21" spans="1:10" ht="51" x14ac:dyDescent="0.2">
      <c r="A21" s="8">
        <v>45899</v>
      </c>
      <c r="B21" s="13" t="s">
        <v>126</v>
      </c>
      <c r="C21" s="1" t="s">
        <v>83</v>
      </c>
      <c r="D21" s="1" t="s">
        <v>69</v>
      </c>
      <c r="E21" s="2" t="s">
        <v>85</v>
      </c>
      <c r="F21" s="1" t="s">
        <v>76</v>
      </c>
      <c r="G21" s="2" t="s">
        <v>71</v>
      </c>
      <c r="H21" s="2" t="s">
        <v>81</v>
      </c>
      <c r="I21" s="2" t="s">
        <v>86</v>
      </c>
      <c r="J21" s="9" t="s">
        <v>54</v>
      </c>
    </row>
    <row r="22" spans="1:10" ht="51" x14ac:dyDescent="0.2">
      <c r="A22" s="8">
        <v>45900</v>
      </c>
      <c r="B22" s="13" t="s">
        <v>120</v>
      </c>
      <c r="C22" s="1" t="s">
        <v>78</v>
      </c>
      <c r="D22" s="1" t="s">
        <v>69</v>
      </c>
      <c r="E22" s="2"/>
      <c r="F22" s="1" t="s">
        <v>79</v>
      </c>
      <c r="G22" s="2" t="s">
        <v>71</v>
      </c>
      <c r="H22" s="2" t="s">
        <v>88</v>
      </c>
      <c r="I22" s="2" t="s">
        <v>82</v>
      </c>
      <c r="J22" s="9" t="s">
        <v>48</v>
      </c>
    </row>
    <row r="23" spans="1:10" ht="51" x14ac:dyDescent="0.2">
      <c r="A23" s="8">
        <v>45901</v>
      </c>
      <c r="B23" s="13" t="s">
        <v>114</v>
      </c>
      <c r="C23" s="1" t="s">
        <v>68</v>
      </c>
      <c r="D23" s="1" t="s">
        <v>69</v>
      </c>
      <c r="E23" s="2" t="s">
        <v>85</v>
      </c>
      <c r="F23" s="1" t="s">
        <v>76</v>
      </c>
      <c r="G23" s="2" t="s">
        <v>71</v>
      </c>
      <c r="H23" s="2"/>
      <c r="I23" s="2" t="s">
        <v>86</v>
      </c>
      <c r="J23" s="9" t="s">
        <v>42</v>
      </c>
    </row>
    <row r="24" spans="1:10" ht="34" x14ac:dyDescent="0.2">
      <c r="A24" s="8">
        <v>45902</v>
      </c>
      <c r="B24" s="13" t="s">
        <v>115</v>
      </c>
      <c r="C24" s="1" t="s">
        <v>68</v>
      </c>
      <c r="D24" s="1" t="s">
        <v>69</v>
      </c>
      <c r="E24" s="2"/>
      <c r="F24" s="1" t="s">
        <v>76</v>
      </c>
      <c r="G24" s="2" t="s">
        <v>71</v>
      </c>
      <c r="H24" s="2"/>
      <c r="I24" s="2" t="s">
        <v>73</v>
      </c>
      <c r="J24" s="9" t="s">
        <v>43</v>
      </c>
    </row>
    <row r="25" spans="1:10" ht="51" x14ac:dyDescent="0.2">
      <c r="A25" s="8">
        <v>45909</v>
      </c>
      <c r="B25" s="13" t="s">
        <v>111</v>
      </c>
      <c r="C25" s="1" t="s">
        <v>78</v>
      </c>
      <c r="D25" s="1" t="s">
        <v>69</v>
      </c>
      <c r="E25" s="2" t="s">
        <v>87</v>
      </c>
      <c r="F25" s="1" t="s">
        <v>76</v>
      </c>
      <c r="G25" s="2" t="s">
        <v>71</v>
      </c>
      <c r="H25" s="2" t="s">
        <v>81</v>
      </c>
      <c r="I25" s="2" t="s">
        <v>77</v>
      </c>
      <c r="J25" s="9" t="s">
        <v>39</v>
      </c>
    </row>
    <row r="26" spans="1:10" ht="34" x14ac:dyDescent="0.2">
      <c r="A26" s="8">
        <v>45909</v>
      </c>
      <c r="B26" s="13" t="s">
        <v>121</v>
      </c>
      <c r="C26" s="1" t="s">
        <v>78</v>
      </c>
      <c r="D26" s="1" t="s">
        <v>69</v>
      </c>
      <c r="E26" s="2"/>
      <c r="F26" s="1" t="s">
        <v>76</v>
      </c>
      <c r="G26" s="2" t="s">
        <v>71</v>
      </c>
      <c r="H26" s="2" t="s">
        <v>81</v>
      </c>
      <c r="I26" s="2" t="s">
        <v>77</v>
      </c>
      <c r="J26" s="9" t="s">
        <v>49</v>
      </c>
    </row>
    <row r="27" spans="1:10" ht="51" x14ac:dyDescent="0.2">
      <c r="A27" s="8">
        <v>45918</v>
      </c>
      <c r="B27" s="13" t="s">
        <v>113</v>
      </c>
      <c r="C27" s="1" t="s">
        <v>68</v>
      </c>
      <c r="D27" s="1" t="s">
        <v>69</v>
      </c>
      <c r="E27" s="2" t="s">
        <v>87</v>
      </c>
      <c r="F27" s="1" t="s">
        <v>76</v>
      </c>
      <c r="G27" s="2" t="s">
        <v>71</v>
      </c>
      <c r="H27" s="2"/>
      <c r="I27" s="2" t="s">
        <v>73</v>
      </c>
      <c r="J27" s="9" t="s">
        <v>41</v>
      </c>
    </row>
    <row r="28" spans="1:10" ht="51" x14ac:dyDescent="0.2">
      <c r="A28" s="8">
        <v>45973</v>
      </c>
      <c r="B28" s="15" t="s">
        <v>140</v>
      </c>
      <c r="C28" s="1" t="s">
        <v>83</v>
      </c>
      <c r="D28" s="1" t="s">
        <v>69</v>
      </c>
      <c r="E28" s="2"/>
      <c r="F28" s="1" t="s">
        <v>79</v>
      </c>
      <c r="G28" s="2" t="s">
        <v>71</v>
      </c>
      <c r="H28" s="2" t="s">
        <v>88</v>
      </c>
      <c r="I28" s="2" t="s">
        <v>84</v>
      </c>
      <c r="J28" s="9" t="s">
        <v>139</v>
      </c>
    </row>
    <row r="29" spans="1:10" ht="68" x14ac:dyDescent="0.2">
      <c r="A29" s="8">
        <v>45982</v>
      </c>
      <c r="B29" s="16" t="s">
        <v>142</v>
      </c>
      <c r="C29" s="1" t="s">
        <v>83</v>
      </c>
      <c r="D29" s="1" t="s">
        <v>69</v>
      </c>
      <c r="E29" s="2" t="s">
        <v>85</v>
      </c>
      <c r="F29" s="1" t="s">
        <v>70</v>
      </c>
      <c r="G29" s="2" t="s">
        <v>71</v>
      </c>
      <c r="H29" s="2" t="s">
        <v>72</v>
      </c>
      <c r="I29" s="2" t="s">
        <v>86</v>
      </c>
      <c r="J29" s="9" t="s">
        <v>141</v>
      </c>
    </row>
    <row r="30" spans="1:10" ht="51" x14ac:dyDescent="0.2">
      <c r="A30" s="8">
        <v>45984</v>
      </c>
      <c r="B30" s="15" t="s">
        <v>144</v>
      </c>
      <c r="C30" s="1" t="s">
        <v>78</v>
      </c>
      <c r="D30" s="1" t="s">
        <v>69</v>
      </c>
      <c r="E30" s="2" t="s">
        <v>85</v>
      </c>
      <c r="F30" s="1" t="s">
        <v>70</v>
      </c>
      <c r="G30" s="2" t="s">
        <v>71</v>
      </c>
      <c r="H30" s="2" t="s">
        <v>88</v>
      </c>
      <c r="I30" s="2" t="s">
        <v>82</v>
      </c>
      <c r="J30" s="9" t="s">
        <v>143</v>
      </c>
    </row>
    <row r="31" spans="1:10" ht="85" x14ac:dyDescent="0.2">
      <c r="A31" s="8">
        <v>45985</v>
      </c>
      <c r="B31" s="16" t="s">
        <v>146</v>
      </c>
      <c r="C31" s="1" t="s">
        <v>83</v>
      </c>
      <c r="D31" s="1" t="s">
        <v>69</v>
      </c>
      <c r="E31" s="2" t="s">
        <v>85</v>
      </c>
      <c r="F31" s="1" t="s">
        <v>76</v>
      </c>
      <c r="G31" s="2" t="s">
        <v>71</v>
      </c>
      <c r="H31" s="2" t="s">
        <v>81</v>
      </c>
      <c r="I31" s="2" t="s">
        <v>86</v>
      </c>
      <c r="J31" s="9" t="s">
        <v>145</v>
      </c>
    </row>
    <row r="32" spans="1:10" ht="51" x14ac:dyDescent="0.2">
      <c r="A32" s="8">
        <v>45986</v>
      </c>
      <c r="B32" s="16" t="s">
        <v>148</v>
      </c>
      <c r="C32" s="1" t="s">
        <v>68</v>
      </c>
      <c r="D32" s="1" t="s">
        <v>69</v>
      </c>
      <c r="E32" s="2" t="s">
        <v>149</v>
      </c>
      <c r="F32" s="1" t="s">
        <v>79</v>
      </c>
      <c r="G32" s="2" t="s">
        <v>71</v>
      </c>
      <c r="H32" s="2"/>
      <c r="I32" s="2" t="s">
        <v>82</v>
      </c>
      <c r="J32" s="9" t="s">
        <v>147</v>
      </c>
    </row>
    <row r="33" spans="1:10" ht="51" x14ac:dyDescent="0.2">
      <c r="A33" s="8">
        <v>46055</v>
      </c>
      <c r="B33" s="16" t="s">
        <v>151</v>
      </c>
      <c r="C33" s="1" t="s">
        <v>68</v>
      </c>
      <c r="D33" s="1" t="s">
        <v>69</v>
      </c>
      <c r="E33" s="2"/>
      <c r="F33" s="1" t="s">
        <v>76</v>
      </c>
      <c r="G33" s="2" t="s">
        <v>71</v>
      </c>
      <c r="H33" s="2" t="s">
        <v>72</v>
      </c>
      <c r="I33" s="2" t="s">
        <v>73</v>
      </c>
      <c r="J33" s="9" t="s">
        <v>150</v>
      </c>
    </row>
    <row r="34" spans="1:10" ht="38" customHeight="1" x14ac:dyDescent="0.2">
      <c r="A34" s="8">
        <v>46064</v>
      </c>
      <c r="B34" s="16" t="s">
        <v>153</v>
      </c>
      <c r="C34" s="1" t="s">
        <v>68</v>
      </c>
      <c r="D34" s="1" t="s">
        <v>69</v>
      </c>
      <c r="E34" s="2" t="s">
        <v>85</v>
      </c>
      <c r="F34" s="1" t="s">
        <v>76</v>
      </c>
      <c r="G34" s="2" t="s">
        <v>71</v>
      </c>
      <c r="H34" s="2" t="s">
        <v>72</v>
      </c>
      <c r="I34" s="2" t="s">
        <v>73</v>
      </c>
      <c r="J34" s="9" t="s">
        <v>152</v>
      </c>
    </row>
    <row r="35" spans="1:10" ht="68" x14ac:dyDescent="0.2">
      <c r="A35" s="8">
        <v>46066</v>
      </c>
      <c r="B35" s="16" t="s">
        <v>155</v>
      </c>
      <c r="C35" s="1" t="s">
        <v>78</v>
      </c>
      <c r="D35" s="1" t="s">
        <v>69</v>
      </c>
      <c r="E35" s="2" t="s">
        <v>85</v>
      </c>
      <c r="F35" s="1" t="s">
        <v>76</v>
      </c>
      <c r="G35" s="2" t="s">
        <v>80</v>
      </c>
      <c r="H35" s="2" t="s">
        <v>81</v>
      </c>
      <c r="I35" s="2" t="s">
        <v>82</v>
      </c>
      <c r="J35" s="9" t="s">
        <v>154</v>
      </c>
    </row>
    <row r="36" spans="1:10" x14ac:dyDescent="0.2">
      <c r="J36" s="7"/>
    </row>
    <row r="37" spans="1:10" x14ac:dyDescent="0.2">
      <c r="J37" s="7"/>
    </row>
    <row r="38" spans="1:10" x14ac:dyDescent="0.2">
      <c r="J38" s="7"/>
    </row>
    <row r="39" spans="1:10" x14ac:dyDescent="0.2">
      <c r="J39" s="7"/>
    </row>
    <row r="40" spans="1:10" x14ac:dyDescent="0.2">
      <c r="J40" s="7"/>
    </row>
    <row r="41" spans="1:10" x14ac:dyDescent="0.2">
      <c r="J41" s="7"/>
    </row>
    <row r="42" spans="1:10" x14ac:dyDescent="0.2">
      <c r="J42" s="7"/>
    </row>
    <row r="43" spans="1:10" x14ac:dyDescent="0.2">
      <c r="J43" s="7"/>
    </row>
    <row r="44" spans="1:10" x14ac:dyDescent="0.2">
      <c r="J44" s="7"/>
    </row>
    <row r="45" spans="1:10" x14ac:dyDescent="0.2">
      <c r="J45" s="7"/>
    </row>
    <row r="46" spans="1:10" x14ac:dyDescent="0.2">
      <c r="J46" s="7"/>
    </row>
    <row r="47" spans="1:10" x14ac:dyDescent="0.2">
      <c r="J47" s="7"/>
    </row>
    <row r="48" spans="1:10" x14ac:dyDescent="0.2">
      <c r="J48" s="7"/>
    </row>
    <row r="49" spans="10:10" x14ac:dyDescent="0.2">
      <c r="J49" s="7"/>
    </row>
    <row r="50" spans="10:10" x14ac:dyDescent="0.2">
      <c r="J50" s="7"/>
    </row>
    <row r="51" spans="10:10" x14ac:dyDescent="0.2">
      <c r="J51" s="7"/>
    </row>
    <row r="52" spans="10:10" x14ac:dyDescent="0.2">
      <c r="J52" s="7"/>
    </row>
    <row r="53" spans="10:10" x14ac:dyDescent="0.2">
      <c r="J53" s="7"/>
    </row>
    <row r="54" spans="10:10" x14ac:dyDescent="0.2">
      <c r="J54" s="7"/>
    </row>
    <row r="55" spans="10:10" x14ac:dyDescent="0.2">
      <c r="J55" s="7"/>
    </row>
    <row r="56" spans="10:10" x14ac:dyDescent="0.2">
      <c r="J56" s="7"/>
    </row>
    <row r="57" spans="10:10" x14ac:dyDescent="0.2">
      <c r="J57" s="7"/>
    </row>
    <row r="58" spans="10:10" x14ac:dyDescent="0.2">
      <c r="J58" s="7"/>
    </row>
    <row r="59" spans="10:10" x14ac:dyDescent="0.2">
      <c r="J59" s="7"/>
    </row>
  </sheetData>
  <hyperlinks>
    <hyperlink ref="J18" r:id="rId1" xr:uid="{C53D636F-F569-7E45-ACFB-2359D37821A6}"/>
    <hyperlink ref="J10" r:id="rId2" xr:uid="{60C679A1-57FE-0A4E-B1A3-BDCDD46E3F02}"/>
    <hyperlink ref="J6" r:id="rId3" xr:uid="{1DF02E67-39FE-6047-AC30-FF809F0A8552}"/>
    <hyperlink ref="J9" r:id="rId4" xr:uid="{2A789DF1-CFEB-1649-BD0E-8A516DA21846}"/>
    <hyperlink ref="J7" r:id="rId5" xr:uid="{60E6CDC8-50DD-B84B-9E6B-5D2174834E36}"/>
    <hyperlink ref="J14" r:id="rId6" xr:uid="{5A3916DD-294E-384F-9460-9D73DFF1B732}"/>
    <hyperlink ref="J11" r:id="rId7" xr:uid="{D90FE87D-9257-4E4B-9491-CD7BBBDAC33C}"/>
    <hyperlink ref="J26" r:id="rId8" xr:uid="{14F2EBC8-D675-2B4D-BDD1-4E613830D31F}"/>
    <hyperlink ref="J5" r:id="rId9" xr:uid="{27EF7FAD-6DB8-A04B-BEE7-56866D696AC8}"/>
    <hyperlink ref="J13" r:id="rId10" xr:uid="{EEE352DD-4375-0D42-93A5-F1DEFA7AA8DD}"/>
    <hyperlink ref="J25" r:id="rId11" xr:uid="{902EA39C-A70C-FF43-B5DE-73283584EFC3}"/>
    <hyperlink ref="J27" r:id="rId12" xr:uid="{DC640800-44B9-9C4B-AC5F-11F28778174A}"/>
    <hyperlink ref="J23" r:id="rId13" xr:uid="{4AB99E82-5FDC-9742-8652-8E72F7C61ECF}"/>
    <hyperlink ref="J24" r:id="rId14" xr:uid="{1E86E84A-BD78-7F40-A269-978A7E946A56}"/>
    <hyperlink ref="J3" r:id="rId15" xr:uid="{8C6C609B-51CC-6448-8F8B-5E73C9122041}"/>
    <hyperlink ref="J15" r:id="rId16" xr:uid="{67F052EE-45BD-214B-B022-AD51FD430AAE}"/>
    <hyperlink ref="J19" r:id="rId17" xr:uid="{E574F2DB-6ABE-6F4D-AA98-8CDE0653A6F4}"/>
    <hyperlink ref="J12" r:id="rId18" xr:uid="{3F1D3D4C-222F-F24B-911D-9CC87AC86E73}"/>
    <hyperlink ref="J22" r:id="rId19" xr:uid="{55AFBC6E-9223-6246-9D96-3F293AFF0646}"/>
    <hyperlink ref="J20" r:id="rId20" xr:uid="{0FB0029D-9726-994F-93FE-60C9EDE9EBCD}"/>
    <hyperlink ref="J8" r:id="rId21" xr:uid="{F0C37EBB-DB16-4D4F-B09C-C48F88D7B548}"/>
    <hyperlink ref="J16" r:id="rId22" xr:uid="{CC9F737E-ADCA-4E46-A207-2EAE7BBD1ECD}"/>
    <hyperlink ref="J17" r:id="rId23" xr:uid="{06AF502E-0E60-F04A-820D-BF98CFCDFDEB}"/>
    <hyperlink ref="J21" r:id="rId24" xr:uid="{E1B7B046-3A35-4B48-A652-314D9DD6004A}"/>
    <hyperlink ref="J4" r:id="rId25" xr:uid="{45FF56C8-8AD9-4B41-BB76-2EF066DDE896}"/>
    <hyperlink ref="J28" r:id="rId26" xr:uid="{F839B2E1-120C-8844-8811-1E51382CB50B}"/>
    <hyperlink ref="J29" r:id="rId27" xr:uid="{B87963C8-50EF-904E-A22F-E44C94380ECA}"/>
    <hyperlink ref="J30" r:id="rId28" xr:uid="{95015613-D2F6-7046-AD3E-12AA46790A64}"/>
    <hyperlink ref="J31" r:id="rId29" xr:uid="{0058428F-EB75-6F4C-8D95-EDECE9704DC8}"/>
    <hyperlink ref="J32" r:id="rId30" xr:uid="{DC2DA667-AA45-9245-BEA3-52DBDF9B420A}"/>
    <hyperlink ref="J33" r:id="rId31" xr:uid="{9C495EF0-5731-E340-9C57-1DC4D0B7638D}"/>
    <hyperlink ref="J34" r:id="rId32" xr:uid="{D050D9B4-BEF7-5242-9DDF-359AD4DD8DCC}"/>
    <hyperlink ref="J35" r:id="rId33" xr:uid="{8287A9FA-DD18-CE4F-8414-9751B4F6ABC2}"/>
  </hyperlinks>
  <pageMargins left="0.7" right="0.7" top="0.75" bottom="0.75" header="0.3" footer="0.3"/>
  <tableParts count="1">
    <tablePart r:id="rId3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2755-8A7B-C74D-99E6-5F4D399E08C0}">
  <dimension ref="A1:Q30"/>
  <sheetViews>
    <sheetView workbookViewId="0">
      <selection activeCell="J30" sqref="J29:R30"/>
    </sheetView>
  </sheetViews>
  <sheetFormatPr baseColWidth="10" defaultColWidth="11" defaultRowHeight="16" x14ac:dyDescent="0.2"/>
  <cols>
    <col min="1" max="1" width="15.33203125" customWidth="1"/>
    <col min="10" max="10" width="15" customWidth="1"/>
  </cols>
  <sheetData>
    <row r="1" spans="1:17" ht="22" x14ac:dyDescent="0.3">
      <c r="A1" s="30" t="s">
        <v>160</v>
      </c>
      <c r="B1" t="s">
        <v>178</v>
      </c>
      <c r="K1" t="s">
        <v>179</v>
      </c>
    </row>
    <row r="2" spans="1:17" x14ac:dyDescent="0.2">
      <c r="A2" s="23"/>
      <c r="B2" s="31" t="s">
        <v>161</v>
      </c>
      <c r="C2" s="31" t="s">
        <v>162</v>
      </c>
      <c r="D2" s="31" t="s">
        <v>163</v>
      </c>
      <c r="E2" s="31" t="s">
        <v>164</v>
      </c>
      <c r="F2" s="31" t="s">
        <v>165</v>
      </c>
      <c r="G2" s="31" t="s">
        <v>166</v>
      </c>
      <c r="H2" s="31" t="s">
        <v>169</v>
      </c>
      <c r="J2" s="23"/>
      <c r="K2" s="31" t="s">
        <v>161</v>
      </c>
      <c r="L2" s="31" t="s">
        <v>162</v>
      </c>
      <c r="M2" s="31" t="s">
        <v>163</v>
      </c>
      <c r="N2" s="31" t="s">
        <v>164</v>
      </c>
      <c r="O2" s="31" t="s">
        <v>165</v>
      </c>
      <c r="P2" s="31" t="s">
        <v>166</v>
      </c>
      <c r="Q2" s="31" t="s">
        <v>169</v>
      </c>
    </row>
    <row r="3" spans="1:17" x14ac:dyDescent="0.2">
      <c r="A3" s="21" t="s">
        <v>170</v>
      </c>
      <c r="B3" s="24">
        <f>COUNTIF(Tabel1[EPI_VS_THE], "*1a*")</f>
        <v>6</v>
      </c>
      <c r="C3" s="24">
        <f>COUNTIF(Tabel1[EPI_VS_THE], "1b")</f>
        <v>11</v>
      </c>
      <c r="D3" s="24">
        <f>COUNTIF(Tabel1[EPI_VS_THE], "1c")</f>
        <v>3</v>
      </c>
      <c r="E3" s="24">
        <f>COUNTIF(Tabel1[EPI_VS_THE], "1d")</f>
        <v>0</v>
      </c>
      <c r="F3" s="24">
        <f>COUNTIF(Tabel1[EPI_VS_THE], "1e")</f>
        <v>0</v>
      </c>
      <c r="G3" s="24">
        <f>COUNTIF(Tabel1[EPI_VS_THE], "1f")</f>
        <v>0</v>
      </c>
      <c r="H3" s="24">
        <f>SUM(B3:G3)</f>
        <v>20</v>
      </c>
      <c r="J3" s="21" t="s">
        <v>177</v>
      </c>
      <c r="K3" s="25">
        <f>B3/$B$11</f>
        <v>0.3</v>
      </c>
      <c r="L3" s="25">
        <f t="shared" ref="L3:Q9" si="0">C3/$B$11</f>
        <v>0.55000000000000004</v>
      </c>
      <c r="M3" s="25">
        <f t="shared" si="0"/>
        <v>0.15</v>
      </c>
      <c r="N3" s="25">
        <f t="shared" si="0"/>
        <v>0</v>
      </c>
      <c r="O3" s="25">
        <f t="shared" si="0"/>
        <v>0</v>
      </c>
      <c r="P3" s="25">
        <f t="shared" si="0"/>
        <v>0</v>
      </c>
      <c r="Q3" s="25">
        <f t="shared" si="0"/>
        <v>1</v>
      </c>
    </row>
    <row r="4" spans="1:17" x14ac:dyDescent="0.2">
      <c r="A4" s="21" t="s">
        <v>171</v>
      </c>
      <c r="B4" s="24">
        <f>COUNTIF(Tabel1[VICTIM_BLA], "2a")</f>
        <v>0</v>
      </c>
      <c r="C4" s="24">
        <f>COUNTIF(Tabel1[VICTIM_BLA], "2b")</f>
        <v>0</v>
      </c>
      <c r="D4" s="24">
        <f>COUNTIF(Tabel1[VICTIM_BLA], "2c")</f>
        <v>20</v>
      </c>
      <c r="E4" s="24">
        <f>COUNTIF(Tabel1[VICTIM_BLA], "2d")</f>
        <v>0</v>
      </c>
      <c r="F4" s="24">
        <f>COUNTIF(Tabel1[VICTIM_BLA], "2e")</f>
        <v>0</v>
      </c>
      <c r="G4" s="24">
        <f>COUNTIF(Tabel1[VICTIM_BLA], "2f")</f>
        <v>0</v>
      </c>
      <c r="H4" s="24">
        <f t="shared" ref="H4:H9" si="1">SUM(B4:G4)</f>
        <v>20</v>
      </c>
      <c r="J4" s="21" t="s">
        <v>171</v>
      </c>
      <c r="K4" s="25">
        <f t="shared" ref="K4:K9" si="2">B4/$B$11</f>
        <v>0</v>
      </c>
      <c r="L4" s="25">
        <f t="shared" si="0"/>
        <v>0</v>
      </c>
      <c r="M4" s="25">
        <f t="shared" si="0"/>
        <v>1</v>
      </c>
      <c r="N4" s="25">
        <f t="shared" si="0"/>
        <v>0</v>
      </c>
      <c r="O4" s="25">
        <f t="shared" si="0"/>
        <v>0</v>
      </c>
      <c r="P4" s="25">
        <f t="shared" si="0"/>
        <v>0</v>
      </c>
      <c r="Q4" s="25">
        <f t="shared" si="0"/>
        <v>1</v>
      </c>
    </row>
    <row r="5" spans="1:17" x14ac:dyDescent="0.2">
      <c r="A5" s="21" t="s">
        <v>172</v>
      </c>
      <c r="B5" s="24">
        <f>COUNTIF(Tabel1[OTHERNESS], "*3a*")</f>
        <v>5</v>
      </c>
      <c r="C5" s="24">
        <f>COUNTIF(Tabel1[OTHERNESS], "*3b*")</f>
        <v>0</v>
      </c>
      <c r="D5" s="24">
        <f>COUNTIF(Tabel1[OTHERNESS], "*3c*")</f>
        <v>3</v>
      </c>
      <c r="E5" s="24">
        <f>COUNTIF(Tabel1[OTHERNESS], "*3d*")</f>
        <v>6</v>
      </c>
      <c r="F5" s="24">
        <f>COUNTIF(Tabel1[OTHERNESS], "*3e*")</f>
        <v>0</v>
      </c>
      <c r="G5" s="24">
        <f>COUNTIF(Tabel1[OTHERNESS], "*3f*")</f>
        <v>0</v>
      </c>
      <c r="H5" s="24">
        <f t="shared" si="1"/>
        <v>14</v>
      </c>
      <c r="J5" s="21" t="s">
        <v>172</v>
      </c>
      <c r="K5" s="25">
        <f t="shared" si="2"/>
        <v>0.25</v>
      </c>
      <c r="L5" s="25">
        <f t="shared" si="0"/>
        <v>0</v>
      </c>
      <c r="M5" s="25">
        <f t="shared" si="0"/>
        <v>0.15</v>
      </c>
      <c r="N5" s="25">
        <f t="shared" si="0"/>
        <v>0.3</v>
      </c>
      <c r="O5" s="25">
        <f t="shared" si="0"/>
        <v>0</v>
      </c>
      <c r="P5" s="25">
        <f t="shared" si="0"/>
        <v>0</v>
      </c>
      <c r="Q5" s="25">
        <f t="shared" si="0"/>
        <v>0.7</v>
      </c>
    </row>
    <row r="6" spans="1:17" x14ac:dyDescent="0.2">
      <c r="A6" s="21" t="s">
        <v>173</v>
      </c>
      <c r="B6" s="24">
        <f>COUNTIF(Tabel1[HUMAN_INT], "4a")</f>
        <v>13</v>
      </c>
      <c r="C6" s="24">
        <f>COUNTIF(Tabel1[HUMAN_INT], "4b")</f>
        <v>2</v>
      </c>
      <c r="D6" s="24">
        <f>COUNTIF(Tabel1[HUMAN_INT], "4c")</f>
        <v>5</v>
      </c>
      <c r="E6" s="24">
        <f>COUNTIF(Tabel1[HUMAN_INT], "4d")</f>
        <v>0</v>
      </c>
      <c r="F6" s="24">
        <f>COUNTIF(Tabel1[HUMAN_INT], "4e")</f>
        <v>0</v>
      </c>
      <c r="G6" s="24">
        <f>COUNTIF(Tabel1[HUMAN_INT], "4f")</f>
        <v>0</v>
      </c>
      <c r="H6" s="24">
        <f t="shared" si="1"/>
        <v>20</v>
      </c>
      <c r="J6" s="21" t="s">
        <v>173</v>
      </c>
      <c r="K6" s="25">
        <f t="shared" si="2"/>
        <v>0.65</v>
      </c>
      <c r="L6" s="25">
        <f t="shared" si="0"/>
        <v>0.1</v>
      </c>
      <c r="M6" s="25">
        <f t="shared" si="0"/>
        <v>0.25</v>
      </c>
      <c r="N6" s="25">
        <f t="shared" si="0"/>
        <v>0</v>
      </c>
      <c r="O6" s="25">
        <f t="shared" si="0"/>
        <v>0</v>
      </c>
      <c r="P6" s="25">
        <f t="shared" si="0"/>
        <v>0</v>
      </c>
      <c r="Q6" s="25">
        <f t="shared" si="0"/>
        <v>1</v>
      </c>
    </row>
    <row r="7" spans="1:17" x14ac:dyDescent="0.2">
      <c r="A7" s="21" t="s">
        <v>174</v>
      </c>
      <c r="B7" s="24">
        <f>COUNTIF(Tabel1[EUFEMISME], "5a")</f>
        <v>0</v>
      </c>
      <c r="C7" s="24">
        <f>COUNTIF(Tabel1[EUFEMISME], "5b")</f>
        <v>9</v>
      </c>
      <c r="D7" s="24">
        <f>COUNTIF(Tabel1[EUFEMISME], "5c")</f>
        <v>11</v>
      </c>
      <c r="E7" s="24">
        <f>COUNTIF(Tabel1[EUFEMISME], "5d")</f>
        <v>0</v>
      </c>
      <c r="F7" s="24">
        <f>COUNTIF(Tabel1[EUFEMISME], "5e")</f>
        <v>0</v>
      </c>
      <c r="G7" s="24">
        <f>COUNTIF(Tabel1[EUFEMISME], "5f")</f>
        <v>0</v>
      </c>
      <c r="H7" s="24">
        <f t="shared" si="1"/>
        <v>20</v>
      </c>
      <c r="J7" s="21" t="s">
        <v>174</v>
      </c>
      <c r="K7" s="25">
        <f t="shared" si="2"/>
        <v>0</v>
      </c>
      <c r="L7" s="25">
        <f t="shared" si="0"/>
        <v>0.45</v>
      </c>
      <c r="M7" s="25">
        <f t="shared" si="0"/>
        <v>0.55000000000000004</v>
      </c>
      <c r="N7" s="25">
        <f t="shared" si="0"/>
        <v>0</v>
      </c>
      <c r="O7" s="25">
        <f t="shared" si="0"/>
        <v>0</v>
      </c>
      <c r="P7" s="25">
        <f t="shared" si="0"/>
        <v>0</v>
      </c>
      <c r="Q7" s="25">
        <f t="shared" si="0"/>
        <v>1</v>
      </c>
    </row>
    <row r="8" spans="1:17" x14ac:dyDescent="0.2">
      <c r="A8" s="21" t="s">
        <v>175</v>
      </c>
      <c r="B8" s="24">
        <f>COUNTIF(Tabel1[VERANT], "6a")</f>
        <v>0</v>
      </c>
      <c r="C8" s="24">
        <f>COUNTIF(Tabel1[VERANT], "6b")</f>
        <v>8</v>
      </c>
      <c r="D8" s="24">
        <f>COUNTIF(Tabel1[VERANT], "6c")</f>
        <v>5</v>
      </c>
      <c r="E8" s="24">
        <f>COUNTIF(Tabel1[VERANT], "6d")</f>
        <v>4</v>
      </c>
      <c r="F8" s="24">
        <f>COUNTIF(Tabel1[VERANT], "6e")</f>
        <v>0</v>
      </c>
      <c r="G8" s="24">
        <f>COUNTIF(Tabel1[VERANT], "6f")</f>
        <v>0</v>
      </c>
      <c r="H8" s="24">
        <f t="shared" si="1"/>
        <v>17</v>
      </c>
      <c r="J8" s="21" t="s">
        <v>175</v>
      </c>
      <c r="K8" s="25">
        <f t="shared" si="2"/>
        <v>0</v>
      </c>
      <c r="L8" s="25">
        <f t="shared" si="0"/>
        <v>0.4</v>
      </c>
      <c r="M8" s="25">
        <f t="shared" si="0"/>
        <v>0.25</v>
      </c>
      <c r="N8" s="25">
        <f t="shared" si="0"/>
        <v>0.2</v>
      </c>
      <c r="O8" s="25">
        <f t="shared" si="0"/>
        <v>0</v>
      </c>
      <c r="P8" s="25">
        <f t="shared" si="0"/>
        <v>0</v>
      </c>
      <c r="Q8" s="25">
        <f t="shared" si="0"/>
        <v>0.85</v>
      </c>
    </row>
    <row r="9" spans="1:17" x14ac:dyDescent="0.2">
      <c r="A9" s="21" t="s">
        <v>176</v>
      </c>
      <c r="B9" s="35">
        <f>COUNTIF(Tabel1[DOM_FRA], "7a")</f>
        <v>4</v>
      </c>
      <c r="C9" s="35">
        <f>COUNTIF(Tabel1[DOM_FRA], "7b")</f>
        <v>9</v>
      </c>
      <c r="D9" s="35">
        <f>COUNTIF(Tabel1[DOM_FRA], "7c")</f>
        <v>0</v>
      </c>
      <c r="E9" s="35">
        <f>COUNTIF(Tabel1[DOM_FRA], "7d")</f>
        <v>1</v>
      </c>
      <c r="F9" s="35">
        <f>COUNTIF(Tabel1[DOM_FRA], "7e")</f>
        <v>5</v>
      </c>
      <c r="G9" s="35">
        <f>COUNTIF(Tabel1[DOM_FRA], "7f")</f>
        <v>1</v>
      </c>
      <c r="H9" s="35">
        <f t="shared" si="1"/>
        <v>20</v>
      </c>
      <c r="J9" s="21" t="s">
        <v>176</v>
      </c>
      <c r="K9" s="34">
        <f t="shared" si="2"/>
        <v>0.2</v>
      </c>
      <c r="L9" s="34">
        <f t="shared" si="0"/>
        <v>0.45</v>
      </c>
      <c r="M9" s="34">
        <f t="shared" si="0"/>
        <v>0</v>
      </c>
      <c r="N9" s="34">
        <f t="shared" si="0"/>
        <v>0.05</v>
      </c>
      <c r="O9" s="34">
        <f t="shared" si="0"/>
        <v>0.25</v>
      </c>
      <c r="P9" s="34">
        <f t="shared" si="0"/>
        <v>0.05</v>
      </c>
      <c r="Q9" s="34">
        <f t="shared" si="0"/>
        <v>1</v>
      </c>
    </row>
    <row r="11" spans="1:17" x14ac:dyDescent="0.2">
      <c r="A11" s="21" t="s">
        <v>167</v>
      </c>
      <c r="B11">
        <v>20</v>
      </c>
    </row>
    <row r="12" spans="1:17" x14ac:dyDescent="0.2">
      <c r="A12" s="29"/>
    </row>
    <row r="14" spans="1:17" ht="22" x14ac:dyDescent="0.3">
      <c r="A14" s="28" t="s">
        <v>168</v>
      </c>
    </row>
    <row r="15" spans="1:17" x14ac:dyDescent="0.2">
      <c r="A15" s="37"/>
      <c r="B15" s="32" t="s">
        <v>161</v>
      </c>
      <c r="C15" s="32" t="s">
        <v>162</v>
      </c>
      <c r="D15" s="32" t="s">
        <v>163</v>
      </c>
      <c r="E15" s="32" t="s">
        <v>164</v>
      </c>
      <c r="F15" s="32" t="s">
        <v>165</v>
      </c>
      <c r="G15" s="32" t="s">
        <v>166</v>
      </c>
      <c r="H15" s="32" t="s">
        <v>169</v>
      </c>
      <c r="J15" s="37"/>
      <c r="K15" s="32" t="s">
        <v>161</v>
      </c>
      <c r="L15" s="32" t="s">
        <v>162</v>
      </c>
      <c r="M15" s="32" t="s">
        <v>163</v>
      </c>
      <c r="N15" s="32" t="s">
        <v>164</v>
      </c>
      <c r="O15" s="32" t="s">
        <v>165</v>
      </c>
      <c r="P15" s="32" t="s">
        <v>166</v>
      </c>
      <c r="Q15" s="32" t="s">
        <v>169</v>
      </c>
    </row>
    <row r="16" spans="1:17" x14ac:dyDescent="0.2">
      <c r="A16" s="22" t="s">
        <v>177</v>
      </c>
      <c r="B16" s="26">
        <f>COUNTIF(Tabel13[EPI_VS_THE], "*1a*")</f>
        <v>15</v>
      </c>
      <c r="C16" s="26">
        <f>COUNTIF(Tabel13[EPI_VS_THE], "1b")</f>
        <v>8</v>
      </c>
      <c r="D16" s="26">
        <f>COUNTIF(Tabel13[EPI_VS_THE], "1c")</f>
        <v>10</v>
      </c>
      <c r="E16" s="26">
        <f>COUNTIF(Tabel13[EPI_VS_THE], "1d")</f>
        <v>0</v>
      </c>
      <c r="F16" s="26">
        <f>COUNTIF(Tabel13[EPI_VS_THE], "1e")</f>
        <v>0</v>
      </c>
      <c r="G16" s="26">
        <f>COUNTIF(Tabel13[EPI_VS_THE], "1f")</f>
        <v>0</v>
      </c>
      <c r="H16" s="26">
        <f>SUM(B16:G16)</f>
        <v>33</v>
      </c>
      <c r="J16" s="22" t="s">
        <v>177</v>
      </c>
      <c r="K16" s="27">
        <f>B16/$B$24</f>
        <v>0.45454545454545453</v>
      </c>
      <c r="L16" s="27">
        <f t="shared" ref="L16:Q22" si="3">C16/$B$24</f>
        <v>0.24242424242424243</v>
      </c>
      <c r="M16" s="27">
        <f t="shared" si="3"/>
        <v>0.30303030303030304</v>
      </c>
      <c r="N16" s="27">
        <f t="shared" si="3"/>
        <v>0</v>
      </c>
      <c r="O16" s="27">
        <f t="shared" si="3"/>
        <v>0</v>
      </c>
      <c r="P16" s="27">
        <f t="shared" si="3"/>
        <v>0</v>
      </c>
      <c r="Q16" s="27">
        <f t="shared" si="3"/>
        <v>1</v>
      </c>
    </row>
    <row r="17" spans="1:17" x14ac:dyDescent="0.2">
      <c r="A17" s="22" t="s">
        <v>171</v>
      </c>
      <c r="B17" s="26">
        <f>COUNTIF(Tabel13[VICTIM_BLA], "2a")</f>
        <v>0</v>
      </c>
      <c r="C17" s="26">
        <f>COUNTIF(Tabel13[VICTIM_BLA], "2b")</f>
        <v>0</v>
      </c>
      <c r="D17" s="26">
        <f>COUNTIF(Tabel13[VICTIM_BLA], "2c")</f>
        <v>33</v>
      </c>
      <c r="E17" s="26">
        <f>COUNTIF(Tabel13[VICTIM_BLA], "2d")</f>
        <v>0</v>
      </c>
      <c r="F17" s="26">
        <f>COUNTIF(Tabel13[VICTIM_BLA], "2e")</f>
        <v>0</v>
      </c>
      <c r="G17" s="26">
        <f>COUNTIF(Tabel13[VICTIM_BLA], "2f")</f>
        <v>0</v>
      </c>
      <c r="H17" s="26">
        <f t="shared" ref="H17:H22" si="4">SUM(B17:G17)</f>
        <v>33</v>
      </c>
      <c r="J17" s="22" t="s">
        <v>171</v>
      </c>
      <c r="K17" s="27">
        <f t="shared" ref="K17:K22" si="5">B17/$B$24</f>
        <v>0</v>
      </c>
      <c r="L17" s="27">
        <f t="shared" si="3"/>
        <v>0</v>
      </c>
      <c r="M17" s="27">
        <f t="shared" si="3"/>
        <v>1</v>
      </c>
      <c r="N17" s="27">
        <f t="shared" si="3"/>
        <v>0</v>
      </c>
      <c r="O17" s="27">
        <f t="shared" si="3"/>
        <v>0</v>
      </c>
      <c r="P17" s="27">
        <f t="shared" si="3"/>
        <v>0</v>
      </c>
      <c r="Q17" s="27">
        <f t="shared" si="3"/>
        <v>1</v>
      </c>
    </row>
    <row r="18" spans="1:17" x14ac:dyDescent="0.2">
      <c r="A18" s="22" t="s">
        <v>172</v>
      </c>
      <c r="B18" s="26">
        <f>COUNTIF(Tabel13[OTHERNESS], "*3a*")</f>
        <v>10</v>
      </c>
      <c r="C18" s="26">
        <f>COUNTIF(Tabel13[OTHERNESS], "*3b*")</f>
        <v>1</v>
      </c>
      <c r="D18" s="26">
        <f>COUNTIF(Tabel13[OTHERNESS], "*3c*")</f>
        <v>1</v>
      </c>
      <c r="E18" s="26">
        <f>COUNTIF(Tabel13[OTHERNESS], "*3d*")</f>
        <v>15</v>
      </c>
      <c r="F18" s="26">
        <f>COUNTIF(Tabel13[OTHERNESS], "*3e*")</f>
        <v>0</v>
      </c>
      <c r="G18" s="26">
        <f>COUNTIF(Tabel13[OTHERNESS], "*3f*")</f>
        <v>0</v>
      </c>
      <c r="H18" s="26">
        <f t="shared" si="4"/>
        <v>27</v>
      </c>
      <c r="J18" s="22" t="s">
        <v>172</v>
      </c>
      <c r="K18" s="27">
        <f t="shared" si="5"/>
        <v>0.30303030303030304</v>
      </c>
      <c r="L18" s="27">
        <f t="shared" si="3"/>
        <v>3.0303030303030304E-2</v>
      </c>
      <c r="M18" s="27">
        <f t="shared" si="3"/>
        <v>3.0303030303030304E-2</v>
      </c>
      <c r="N18" s="27">
        <f t="shared" si="3"/>
        <v>0.45454545454545453</v>
      </c>
      <c r="O18" s="27">
        <f t="shared" si="3"/>
        <v>0</v>
      </c>
      <c r="P18" s="27">
        <f t="shared" si="3"/>
        <v>0</v>
      </c>
      <c r="Q18" s="27">
        <f t="shared" si="3"/>
        <v>0.81818181818181823</v>
      </c>
    </row>
    <row r="19" spans="1:17" x14ac:dyDescent="0.2">
      <c r="A19" s="22" t="s">
        <v>173</v>
      </c>
      <c r="B19" s="26">
        <f>COUNTIF(Tabel13[HUMAN_INT], "4a")</f>
        <v>18</v>
      </c>
      <c r="C19" s="26">
        <f>COUNTIF(Tabel13[HUMAN_INT], "4b")</f>
        <v>10</v>
      </c>
      <c r="D19" s="26">
        <f>COUNTIF(Tabel13[HUMAN_INT], "4c")</f>
        <v>5</v>
      </c>
      <c r="E19" s="26">
        <f>COUNTIF(Tabel13[HUMAN_INT], "4d")</f>
        <v>0</v>
      </c>
      <c r="F19" s="26">
        <f>COUNTIF(Tabel13[HUMAN_INT], "4e")</f>
        <v>0</v>
      </c>
      <c r="G19" s="26">
        <f>COUNTIF(Tabel13[HUMAN_INT], "4f")</f>
        <v>0</v>
      </c>
      <c r="H19" s="26">
        <f t="shared" si="4"/>
        <v>33</v>
      </c>
      <c r="J19" s="22" t="s">
        <v>173</v>
      </c>
      <c r="K19" s="27">
        <f t="shared" si="5"/>
        <v>0.54545454545454541</v>
      </c>
      <c r="L19" s="27">
        <f t="shared" si="3"/>
        <v>0.30303030303030304</v>
      </c>
      <c r="M19" s="27">
        <f t="shared" si="3"/>
        <v>0.15151515151515152</v>
      </c>
      <c r="N19" s="27">
        <f t="shared" si="3"/>
        <v>0</v>
      </c>
      <c r="O19" s="27">
        <f t="shared" si="3"/>
        <v>0</v>
      </c>
      <c r="P19" s="27">
        <f t="shared" si="3"/>
        <v>0</v>
      </c>
      <c r="Q19" s="27">
        <f t="shared" si="3"/>
        <v>1</v>
      </c>
    </row>
    <row r="20" spans="1:17" x14ac:dyDescent="0.2">
      <c r="A20" s="22" t="s">
        <v>174</v>
      </c>
      <c r="B20" s="26">
        <f>COUNTIF(Tabel13[EUFEMISME], "5a")</f>
        <v>0</v>
      </c>
      <c r="C20" s="26">
        <f>COUNTIF(Tabel13[EUFEMISME], "5b")</f>
        <v>5</v>
      </c>
      <c r="D20" s="26">
        <f>COUNTIF(Tabel13[EUFEMISME], "5c")</f>
        <v>28</v>
      </c>
      <c r="E20" s="26">
        <f>COUNTIF(Tabel13[EUFEMISME], "5d")</f>
        <v>0</v>
      </c>
      <c r="F20" s="26">
        <f>COUNTIF(Tabel13[EUFEMISME], "5e")</f>
        <v>0</v>
      </c>
      <c r="G20" s="26">
        <f>COUNTIF(Tabel13[EUFEMISME], "5f")</f>
        <v>0</v>
      </c>
      <c r="H20" s="26">
        <f t="shared" si="4"/>
        <v>33</v>
      </c>
      <c r="J20" s="22" t="s">
        <v>174</v>
      </c>
      <c r="K20" s="27">
        <f t="shared" si="5"/>
        <v>0</v>
      </c>
      <c r="L20" s="27">
        <f t="shared" si="3"/>
        <v>0.15151515151515152</v>
      </c>
      <c r="M20" s="27">
        <f t="shared" si="3"/>
        <v>0.84848484848484851</v>
      </c>
      <c r="N20" s="27">
        <f t="shared" si="3"/>
        <v>0</v>
      </c>
      <c r="O20" s="27">
        <f t="shared" si="3"/>
        <v>0</v>
      </c>
      <c r="P20" s="27">
        <f t="shared" si="3"/>
        <v>0</v>
      </c>
      <c r="Q20" s="27">
        <f t="shared" si="3"/>
        <v>1</v>
      </c>
    </row>
    <row r="21" spans="1:17" x14ac:dyDescent="0.2">
      <c r="A21" s="22" t="s">
        <v>175</v>
      </c>
      <c r="B21" s="26">
        <f>COUNTIF(Tabel13[VERANT], "6a")</f>
        <v>0</v>
      </c>
      <c r="C21" s="26">
        <f>COUNTIF(Tabel13[VERANT], "6b")</f>
        <v>8</v>
      </c>
      <c r="D21" s="26">
        <f>COUNTIF(Tabel13[VERANT], "6c")</f>
        <v>6</v>
      </c>
      <c r="E21" s="26">
        <f>COUNTIF(Tabel13[VERANT], "6d")</f>
        <v>6</v>
      </c>
      <c r="F21" s="26">
        <f>COUNTIF(Tabel13[VERANT], "6e")</f>
        <v>0</v>
      </c>
      <c r="G21" s="26">
        <f>COUNTIF(Tabel13[VERANT], "6f")</f>
        <v>0</v>
      </c>
      <c r="H21" s="26">
        <f t="shared" si="4"/>
        <v>20</v>
      </c>
      <c r="J21" s="22" t="s">
        <v>175</v>
      </c>
      <c r="K21" s="27">
        <f t="shared" si="5"/>
        <v>0</v>
      </c>
      <c r="L21" s="27">
        <f t="shared" si="3"/>
        <v>0.24242424242424243</v>
      </c>
      <c r="M21" s="27">
        <f t="shared" si="3"/>
        <v>0.18181818181818182</v>
      </c>
      <c r="N21" s="27">
        <f t="shared" si="3"/>
        <v>0.18181818181818182</v>
      </c>
      <c r="O21" s="27">
        <f t="shared" si="3"/>
        <v>0</v>
      </c>
      <c r="P21" s="27">
        <f t="shared" si="3"/>
        <v>0</v>
      </c>
      <c r="Q21" s="27">
        <f t="shared" si="3"/>
        <v>0.60606060606060608</v>
      </c>
    </row>
    <row r="22" spans="1:17" x14ac:dyDescent="0.2">
      <c r="A22" s="22" t="s">
        <v>176</v>
      </c>
      <c r="B22" s="36">
        <f>COUNTIF(Tabel13[DOM_FRA], "7a")</f>
        <v>11</v>
      </c>
      <c r="C22" s="36">
        <f>COUNTIF(Tabel13[DOM_FRA], "7b")</f>
        <v>7</v>
      </c>
      <c r="D22" s="36">
        <f>COUNTIF(Tabel13[DOM_FRA], "7c")</f>
        <v>0</v>
      </c>
      <c r="E22" s="36">
        <f>COUNTIF(Tabel13[DOM_FRA], "7d")</f>
        <v>7</v>
      </c>
      <c r="F22" s="36">
        <f>COUNTIF(Tabel13[DOM_FRA], "7e")</f>
        <v>5</v>
      </c>
      <c r="G22" s="36">
        <f>COUNTIF(Tabel13[DOM_FRA], "7f")</f>
        <v>3</v>
      </c>
      <c r="H22" s="36">
        <f t="shared" si="4"/>
        <v>33</v>
      </c>
      <c r="J22" s="22" t="s">
        <v>176</v>
      </c>
      <c r="K22" s="33">
        <f t="shared" si="5"/>
        <v>0.33333333333333331</v>
      </c>
      <c r="L22" s="33">
        <f t="shared" si="3"/>
        <v>0.21212121212121213</v>
      </c>
      <c r="M22" s="33">
        <f t="shared" si="3"/>
        <v>0</v>
      </c>
      <c r="N22" s="33">
        <f t="shared" si="3"/>
        <v>0.21212121212121213</v>
      </c>
      <c r="O22" s="33">
        <f t="shared" si="3"/>
        <v>0.15151515151515152</v>
      </c>
      <c r="P22" s="33">
        <f t="shared" si="3"/>
        <v>9.0909090909090912E-2</v>
      </c>
      <c r="Q22" s="33">
        <f t="shared" si="3"/>
        <v>1</v>
      </c>
    </row>
    <row r="24" spans="1:17" x14ac:dyDescent="0.2">
      <c r="A24" s="22" t="s">
        <v>167</v>
      </c>
      <c r="B24">
        <v>33</v>
      </c>
    </row>
    <row r="30" spans="1:17" x14ac:dyDescent="0.2">
      <c r="J30" s="2"/>
      <c r="K30" s="2"/>
      <c r="L30" s="2"/>
      <c r="M30" s="2"/>
      <c r="N30" s="2"/>
      <c r="O30" s="2"/>
      <c r="P3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3ADB-75C8-47E6-8762-36DE11E029B5}">
  <dimension ref="B1:Q25"/>
  <sheetViews>
    <sheetView tabSelected="1" topLeftCell="A109" workbookViewId="0">
      <selection activeCell="K120" sqref="K110:K120"/>
    </sheetView>
  </sheetViews>
  <sheetFormatPr baseColWidth="10" defaultColWidth="8.83203125" defaultRowHeight="16" x14ac:dyDescent="0.2"/>
  <cols>
    <col min="2" max="2" width="17" bestFit="1" customWidth="1"/>
    <col min="3" max="3" width="15.33203125" bestFit="1" customWidth="1"/>
    <col min="4" max="4" width="9.6640625" bestFit="1" customWidth="1"/>
    <col min="5" max="5" width="18.83203125" bestFit="1" customWidth="1"/>
    <col min="6" max="6" width="15.5" bestFit="1" customWidth="1"/>
    <col min="7" max="7" width="17.1640625" bestFit="1" customWidth="1"/>
    <col min="8" max="8" width="15" bestFit="1" customWidth="1"/>
    <col min="9" max="9" width="9.6640625" bestFit="1" customWidth="1"/>
    <col min="10" max="10" width="10.1640625" bestFit="1" customWidth="1"/>
    <col min="11" max="11" width="19.1640625" bestFit="1" customWidth="1"/>
    <col min="12" max="12" width="23.33203125" bestFit="1" customWidth="1"/>
    <col min="13" max="13" width="23.6640625" bestFit="1" customWidth="1"/>
    <col min="14" max="14" width="15" bestFit="1" customWidth="1"/>
    <col min="15" max="15" width="10.1640625" bestFit="1" customWidth="1"/>
  </cols>
  <sheetData>
    <row r="1" spans="2:17" x14ac:dyDescent="0.2">
      <c r="K1" s="38"/>
      <c r="L1" s="38"/>
      <c r="M1" s="38"/>
      <c r="N1" s="38"/>
      <c r="O1" s="38"/>
      <c r="P1" s="38"/>
      <c r="Q1" s="38"/>
    </row>
    <row r="2" spans="2:17" x14ac:dyDescent="0.2">
      <c r="B2" t="s">
        <v>183</v>
      </c>
      <c r="C2" t="s">
        <v>180</v>
      </c>
      <c r="D2" t="s">
        <v>177</v>
      </c>
      <c r="E2" t="s">
        <v>171</v>
      </c>
      <c r="F2" t="s">
        <v>172</v>
      </c>
      <c r="G2" t="s">
        <v>173</v>
      </c>
      <c r="H2" t="s">
        <v>174</v>
      </c>
      <c r="I2" t="s">
        <v>175</v>
      </c>
      <c r="J2" t="s">
        <v>176</v>
      </c>
      <c r="K2" s="38"/>
      <c r="L2" s="38"/>
      <c r="M2" s="38"/>
      <c r="N2" s="38"/>
      <c r="O2" s="38"/>
      <c r="P2" s="38"/>
      <c r="Q2" s="38"/>
    </row>
    <row r="3" spans="2:17" x14ac:dyDescent="0.2">
      <c r="B3" t="s">
        <v>161</v>
      </c>
      <c r="C3" t="s">
        <v>181</v>
      </c>
      <c r="D3" s="38">
        <v>0.3</v>
      </c>
      <c r="E3" s="38">
        <v>0</v>
      </c>
      <c r="F3" s="38">
        <v>0.25</v>
      </c>
      <c r="G3" s="38">
        <v>0.65</v>
      </c>
      <c r="H3" s="38">
        <v>0</v>
      </c>
      <c r="I3" s="38">
        <v>0</v>
      </c>
      <c r="J3" s="38">
        <v>0.2</v>
      </c>
    </row>
    <row r="4" spans="2:17" x14ac:dyDescent="0.2">
      <c r="B4" t="s">
        <v>162</v>
      </c>
      <c r="C4" t="s">
        <v>181</v>
      </c>
      <c r="D4" s="38">
        <v>0.55000000000000004</v>
      </c>
      <c r="E4" s="38">
        <v>0</v>
      </c>
      <c r="F4" s="38">
        <v>0</v>
      </c>
      <c r="G4" s="38">
        <v>0.1</v>
      </c>
      <c r="H4" s="38">
        <v>0.45</v>
      </c>
      <c r="I4" s="38">
        <v>0.4</v>
      </c>
      <c r="J4" s="38">
        <v>0.45</v>
      </c>
    </row>
    <row r="5" spans="2:17" x14ac:dyDescent="0.2">
      <c r="B5" t="s">
        <v>163</v>
      </c>
      <c r="C5" t="s">
        <v>181</v>
      </c>
      <c r="D5" s="38">
        <v>0.15</v>
      </c>
      <c r="E5" s="38">
        <v>1</v>
      </c>
      <c r="F5" s="38">
        <v>0.15</v>
      </c>
      <c r="G5" s="38">
        <v>0.25</v>
      </c>
      <c r="H5" s="38">
        <v>0.55000000000000004</v>
      </c>
      <c r="I5" s="38">
        <v>0.25</v>
      </c>
      <c r="J5" s="38">
        <v>0</v>
      </c>
    </row>
    <row r="6" spans="2:17" x14ac:dyDescent="0.2">
      <c r="B6" t="s">
        <v>164</v>
      </c>
      <c r="C6" t="s">
        <v>181</v>
      </c>
      <c r="D6" s="38">
        <v>0</v>
      </c>
      <c r="E6" s="38">
        <v>0</v>
      </c>
      <c r="F6" s="38">
        <v>0.3</v>
      </c>
      <c r="G6" s="38">
        <v>0</v>
      </c>
      <c r="H6" s="38">
        <v>0</v>
      </c>
      <c r="I6" s="38">
        <v>0.2</v>
      </c>
      <c r="J6" s="38">
        <v>0.05</v>
      </c>
    </row>
    <row r="7" spans="2:17" x14ac:dyDescent="0.2">
      <c r="B7" t="s">
        <v>165</v>
      </c>
      <c r="C7" t="s">
        <v>181</v>
      </c>
      <c r="D7" s="38">
        <v>0</v>
      </c>
      <c r="E7" s="38">
        <v>0</v>
      </c>
      <c r="F7" s="38">
        <v>0</v>
      </c>
      <c r="G7" s="38">
        <v>0</v>
      </c>
      <c r="H7" s="38">
        <v>0</v>
      </c>
      <c r="I7" s="38">
        <v>0</v>
      </c>
      <c r="J7" s="38">
        <v>0.25</v>
      </c>
    </row>
    <row r="8" spans="2:17" x14ac:dyDescent="0.2">
      <c r="B8" t="s">
        <v>166</v>
      </c>
      <c r="C8" t="s">
        <v>181</v>
      </c>
      <c r="D8" s="38">
        <v>0</v>
      </c>
      <c r="E8" s="38">
        <v>0</v>
      </c>
      <c r="F8" s="38">
        <v>0</v>
      </c>
      <c r="G8" s="38">
        <v>0</v>
      </c>
      <c r="H8" s="38">
        <v>0</v>
      </c>
      <c r="I8" s="38">
        <v>0</v>
      </c>
      <c r="J8" s="38">
        <v>0.05</v>
      </c>
    </row>
    <row r="9" spans="2:17" x14ac:dyDescent="0.2">
      <c r="B9" t="s">
        <v>169</v>
      </c>
      <c r="C9" t="s">
        <v>181</v>
      </c>
      <c r="D9" s="38">
        <v>1</v>
      </c>
      <c r="E9" s="38">
        <v>1</v>
      </c>
      <c r="F9" s="38">
        <v>0.7</v>
      </c>
      <c r="G9" s="38">
        <v>1</v>
      </c>
      <c r="H9" s="38">
        <v>1</v>
      </c>
      <c r="I9" s="38">
        <v>0.85</v>
      </c>
      <c r="J9" s="38">
        <v>1</v>
      </c>
    </row>
    <row r="10" spans="2:17" x14ac:dyDescent="0.2">
      <c r="B10" t="s">
        <v>161</v>
      </c>
      <c r="C10" t="s">
        <v>182</v>
      </c>
      <c r="D10" s="38">
        <v>0.45454545454545453</v>
      </c>
      <c r="E10" s="38">
        <v>0</v>
      </c>
      <c r="F10" s="38">
        <v>0.30303030303030304</v>
      </c>
      <c r="G10" s="38">
        <v>0.54545454545454541</v>
      </c>
      <c r="H10" s="38">
        <v>0</v>
      </c>
      <c r="I10" s="38">
        <v>0</v>
      </c>
      <c r="J10" s="38">
        <v>0.33333333333333331</v>
      </c>
    </row>
    <row r="11" spans="2:17" x14ac:dyDescent="0.2">
      <c r="B11" t="s">
        <v>162</v>
      </c>
      <c r="C11" t="s">
        <v>182</v>
      </c>
      <c r="D11" s="38">
        <v>0.24242424242424243</v>
      </c>
      <c r="E11" s="38">
        <v>0</v>
      </c>
      <c r="F11" s="38">
        <v>3.0303030303030304E-2</v>
      </c>
      <c r="G11" s="38">
        <v>0.30303030303030304</v>
      </c>
      <c r="H11" s="38">
        <v>0.15151515151515152</v>
      </c>
      <c r="I11" s="38">
        <v>0.24242424242424243</v>
      </c>
      <c r="J11" s="38">
        <v>0.21212121212121213</v>
      </c>
    </row>
    <row r="12" spans="2:17" x14ac:dyDescent="0.2">
      <c r="B12" t="s">
        <v>163</v>
      </c>
      <c r="C12" t="s">
        <v>182</v>
      </c>
      <c r="D12" s="38">
        <v>0.30303030303030304</v>
      </c>
      <c r="E12" s="38">
        <v>1</v>
      </c>
      <c r="F12" s="38">
        <v>3.0303030303030304E-2</v>
      </c>
      <c r="G12" s="38">
        <v>0.15151515151515152</v>
      </c>
      <c r="H12" s="38">
        <v>0.84848484848484851</v>
      </c>
      <c r="I12" s="38">
        <v>0.18181818181818182</v>
      </c>
      <c r="J12" s="38">
        <v>0</v>
      </c>
    </row>
    <row r="13" spans="2:17" x14ac:dyDescent="0.2">
      <c r="B13" t="s">
        <v>164</v>
      </c>
      <c r="C13" t="s">
        <v>182</v>
      </c>
      <c r="D13" s="38">
        <v>0</v>
      </c>
      <c r="E13" s="38">
        <v>0</v>
      </c>
      <c r="F13" s="38">
        <v>0.45454545454545453</v>
      </c>
      <c r="G13" s="38">
        <v>0</v>
      </c>
      <c r="H13" s="38">
        <v>0</v>
      </c>
      <c r="I13" s="38">
        <v>0.18181818181818182</v>
      </c>
      <c r="J13" s="38">
        <v>0.21212121212121213</v>
      </c>
    </row>
    <row r="14" spans="2:17" x14ac:dyDescent="0.2">
      <c r="B14" t="s">
        <v>165</v>
      </c>
      <c r="C14" t="s">
        <v>182</v>
      </c>
      <c r="D14" s="38">
        <v>0</v>
      </c>
      <c r="E14" s="38">
        <v>0</v>
      </c>
      <c r="F14" s="38">
        <v>0</v>
      </c>
      <c r="G14" s="38">
        <v>0</v>
      </c>
      <c r="H14" s="38">
        <v>0</v>
      </c>
      <c r="I14" s="38">
        <v>0</v>
      </c>
      <c r="J14" s="38">
        <v>0.15151515151515152</v>
      </c>
    </row>
    <row r="15" spans="2:17" x14ac:dyDescent="0.2">
      <c r="B15" t="s">
        <v>166</v>
      </c>
      <c r="C15" t="s">
        <v>182</v>
      </c>
      <c r="D15" s="38">
        <v>0</v>
      </c>
      <c r="E15" s="38">
        <v>0</v>
      </c>
      <c r="F15" s="38">
        <v>0</v>
      </c>
      <c r="G15" s="38">
        <v>0</v>
      </c>
      <c r="H15" s="38">
        <v>0</v>
      </c>
      <c r="I15" s="38">
        <v>0</v>
      </c>
      <c r="J15" s="38">
        <v>9.0909090909090912E-2</v>
      </c>
    </row>
    <row r="16" spans="2:17" x14ac:dyDescent="0.2">
      <c r="B16" t="s">
        <v>169</v>
      </c>
      <c r="C16" t="s">
        <v>182</v>
      </c>
      <c r="D16" s="38">
        <v>1</v>
      </c>
      <c r="E16" s="38">
        <v>1</v>
      </c>
      <c r="F16" s="38">
        <v>0.81818181818181823</v>
      </c>
      <c r="G16" s="38">
        <v>1</v>
      </c>
      <c r="H16" s="38">
        <v>1</v>
      </c>
      <c r="I16" s="38">
        <v>0.60606060606060608</v>
      </c>
      <c r="J16" s="38">
        <v>1</v>
      </c>
    </row>
    <row r="18" spans="2:4" x14ac:dyDescent="0.2">
      <c r="B18" s="39" t="s">
        <v>186</v>
      </c>
      <c r="C18" s="39" t="s">
        <v>184</v>
      </c>
    </row>
    <row r="19" spans="2:4" x14ac:dyDescent="0.2">
      <c r="B19" s="39" t="s">
        <v>185</v>
      </c>
      <c r="C19" t="s">
        <v>182</v>
      </c>
      <c r="D19" t="s">
        <v>181</v>
      </c>
    </row>
    <row r="20" spans="2:4" x14ac:dyDescent="0.2">
      <c r="B20" s="41" t="s">
        <v>161</v>
      </c>
      <c r="C20" s="40">
        <v>0.33333333333333331</v>
      </c>
      <c r="D20" s="40">
        <v>0.2</v>
      </c>
    </row>
    <row r="21" spans="2:4" x14ac:dyDescent="0.2">
      <c r="B21" s="41" t="s">
        <v>162</v>
      </c>
      <c r="C21" s="40">
        <v>0.21212121212121213</v>
      </c>
      <c r="D21" s="40">
        <v>0.45</v>
      </c>
    </row>
    <row r="22" spans="2:4" x14ac:dyDescent="0.2">
      <c r="B22" s="41" t="s">
        <v>163</v>
      </c>
      <c r="C22" s="40">
        <v>0</v>
      </c>
      <c r="D22" s="40">
        <v>0</v>
      </c>
    </row>
    <row r="23" spans="2:4" x14ac:dyDescent="0.2">
      <c r="B23" s="41" t="s">
        <v>164</v>
      </c>
      <c r="C23" s="40">
        <v>0.21212121212121213</v>
      </c>
      <c r="D23" s="40">
        <v>0.05</v>
      </c>
    </row>
    <row r="24" spans="2:4" x14ac:dyDescent="0.2">
      <c r="B24" s="41" t="s">
        <v>165</v>
      </c>
      <c r="C24" s="40">
        <v>0.15151515151515152</v>
      </c>
      <c r="D24" s="40">
        <v>0.25</v>
      </c>
    </row>
    <row r="25" spans="2:4" x14ac:dyDescent="0.2">
      <c r="B25" s="41" t="s">
        <v>166</v>
      </c>
      <c r="C25" s="40">
        <v>9.0909090909090912E-2</v>
      </c>
      <c r="D25" s="40">
        <v>0.05</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Uitleg variabelen</vt:lpstr>
      <vt:lpstr>de Volkskrant resultaten</vt:lpstr>
      <vt:lpstr>De Telegraaf resultaten</vt:lpstr>
      <vt:lpstr>Resultaten</vt:lpstr>
      <vt:lpstr>Grafieken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Algra</dc:creator>
  <cp:lastModifiedBy>Amanda Algra</cp:lastModifiedBy>
  <dcterms:created xsi:type="dcterms:W3CDTF">2026-03-18T11:40:32Z</dcterms:created>
  <dcterms:modified xsi:type="dcterms:W3CDTF">2026-03-29T16:52:07Z</dcterms:modified>
</cp:coreProperties>
</file>